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9200" windowHeight="12270" activeTab="0"/>
  </bookViews>
  <sheets>
    <sheet name="Notes" sheetId="1" r:id="rId1"/>
    <sheet name="COBB Subaru" sheetId="2" r:id="rId2"/>
    <sheet name="Change Log" sheetId="3" r:id="rId3"/>
    <sheet name="Background Math" sheetId="4" state="veryHidden" r:id="rId4"/>
  </sheets>
  <definedNames>
    <definedName name="_xlfn.IFERROR" hidden="1">#NAME?</definedName>
    <definedName name="BPFP">'Background Math'!$L$8:$L$13</definedName>
    <definedName name="BPIN">'Background Math'!$M$8:$M$13</definedName>
    <definedName name="ETH">'COBB Subaru'!$C$14</definedName>
    <definedName name="ETH1" localSheetId="0">'Notes'!$B$14</definedName>
    <definedName name="ETH1">#REF!</definedName>
    <definedName name="ETH2">'COBB Subaru'!#REF!</definedName>
    <definedName name="ETHOUT1">'Background Math'!#REF!</definedName>
    <definedName name="ETHOUT2">'Background Math'!#REF!</definedName>
    <definedName name="FP">'Background Math'!$I$4</definedName>
    <definedName name="FPIN">'Background Math'!$D$8:$I$8</definedName>
    <definedName name="FPX">'COBB Subaru'!$F$14</definedName>
    <definedName name="HSFP">'Background Math'!$L$16:$L$21</definedName>
    <definedName name="HSIN">'Background Math'!$M$16:$M$21</definedName>
    <definedName name="LSFP">'Background Math'!$L$24:$L$30</definedName>
    <definedName name="LSIN">'Background Math'!$M$24:$M$30</definedName>
    <definedName name="OFFSETFP">'Background Math'!$E$14:$E$20</definedName>
    <definedName name="OFFSETIN">'Background Math'!$F$14:$F$20</definedName>
  </definedNames>
  <calcPr fullCalcOnLoad="1"/>
</workbook>
</file>

<file path=xl/sharedStrings.xml><?xml version="1.0" encoding="utf-8"?>
<sst xmlns="http://schemas.openxmlformats.org/spreadsheetml/2006/main" count="54" uniqueCount="43">
  <si>
    <t>OUTPUT</t>
  </si>
  <si>
    <t>Enter Base Fuel Pressure (psid)</t>
  </si>
  <si>
    <t># for Error</t>
  </si>
  <si>
    <t>Pressure (error handling)</t>
  </si>
  <si>
    <t>EPW</t>
  </si>
  <si>
    <t>%</t>
  </si>
  <si>
    <t>Fuel Injector Trim (Small IPW)</t>
  </si>
  <si>
    <t>Fuel Injector Latency</t>
  </si>
  <si>
    <t>Latency (ms)</t>
  </si>
  <si>
    <t>Fuel Injector Scale</t>
  </si>
  <si>
    <t>IPW (µs)</t>
  </si>
  <si>
    <t>Fuel Injector Pulse Width Limit (Min)</t>
  </si>
  <si>
    <t>Fuel Injector Trim (Max. Small IPW)</t>
  </si>
  <si>
    <t>IPW (ms)</t>
  </si>
  <si>
    <t>Fuel Injector Trim (Max. RPM, Small IPW)</t>
  </si>
  <si>
    <t>RPM</t>
  </si>
  <si>
    <t>Voltage</t>
  </si>
  <si>
    <t>Pressure</t>
  </si>
  <si>
    <t>OFFSET (ms)</t>
  </si>
  <si>
    <t>Small PW Trim (%)</t>
  </si>
  <si>
    <t>Injector Scale</t>
  </si>
  <si>
    <t>Ethanol</t>
  </si>
  <si>
    <t>Gasoline</t>
  </si>
  <si>
    <t>Enter Ethanol Content (%)</t>
  </si>
  <si>
    <t>Stoich AFR</t>
  </si>
  <si>
    <t>Load (g)</t>
  </si>
  <si>
    <t>Fuel Mass for Stoich (g)</t>
  </si>
  <si>
    <t>Mass Slope (mg/usec)</t>
  </si>
  <si>
    <t>Volume Slope (cc/min)</t>
  </si>
  <si>
    <t>Pw (µsec)</t>
  </si>
  <si>
    <t>Slope</t>
  </si>
  <si>
    <t>Subaru</t>
  </si>
  <si>
    <t>(bar)</t>
  </si>
  <si>
    <t>(cc/min)</t>
  </si>
  <si>
    <t>Scale</t>
  </si>
  <si>
    <t>SG IN</t>
  </si>
  <si>
    <t>SG OUT</t>
  </si>
  <si>
    <t>Input Pressure (From Return Sheet)</t>
  </si>
  <si>
    <t>INJECTOR DYNAMICS</t>
  </si>
  <si>
    <t>Rounding</t>
  </si>
  <si>
    <t>N/A</t>
  </si>
  <si>
    <t>Created - PY</t>
  </si>
  <si>
    <t>* 29 to 94 psid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</si>
</sst>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9"/>
      <name val="Trebuchet MS"/>
      <family val="2"/>
    </font>
    <font>
      <b/>
      <sz val="10"/>
      <name val="Arial"/>
      <family val="2"/>
    </font>
    <font>
      <b/>
      <sz val="10"/>
      <color indexed="10"/>
      <name val="Trebuchet MS"/>
      <family val="2"/>
    </font>
    <font>
      <b/>
      <sz val="11"/>
      <color indexed="12"/>
      <name val="Times New Roman"/>
      <family val="1"/>
    </font>
    <font>
      <b/>
      <sz val="10"/>
      <color indexed="52"/>
      <name val="Trebuchet MS"/>
      <family val="2"/>
    </font>
    <font>
      <b/>
      <sz val="10"/>
      <color indexed="22"/>
      <name val="Trebuchet MS"/>
      <family val="2"/>
    </font>
    <font>
      <sz val="10"/>
      <color indexed="22"/>
      <name val="Trebuchet MS"/>
      <family val="2"/>
    </font>
    <font>
      <sz val="10"/>
      <color indexed="22"/>
      <name val="Arial"/>
      <family val="2"/>
    </font>
    <font>
      <sz val="8"/>
      <color indexed="22"/>
      <name val="Trebuchet MS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  <font>
      <b/>
      <sz val="11"/>
      <color rgb="FF0000FF"/>
      <name val="Times New Roman"/>
      <family val="1"/>
    </font>
    <font>
      <b/>
      <sz val="10"/>
      <color rgb="FFE58A21"/>
      <name val="Trebuchet MS"/>
      <family val="2"/>
    </font>
    <font>
      <b/>
      <sz val="10"/>
      <color rgb="FFCBCBCB"/>
      <name val="Trebuchet MS"/>
      <family val="2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sz val="8"/>
      <color rgb="FFCBCBCB"/>
      <name val="Trebuchet MS"/>
      <family val="2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3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3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4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4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44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4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44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4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4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4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4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44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5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6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4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9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50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51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52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53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54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5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3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56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5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0" fillId="55" borderId="0" xfId="0" applyFont="1" applyFill="1" applyAlignment="1">
      <alignment/>
    </xf>
    <xf numFmtId="1" fontId="20" fillId="55" borderId="0" xfId="0" applyNumberFormat="1" applyFont="1" applyFill="1" applyBorder="1" applyAlignment="1">
      <alignment horizontal="center" vertical="center"/>
    </xf>
    <xf numFmtId="165" fontId="20" fillId="55" borderId="0" xfId="0" applyNumberFormat="1" applyFont="1" applyFill="1" applyBorder="1" applyAlignment="1">
      <alignment horizontal="center" vertical="center"/>
    </xf>
    <xf numFmtId="170" fontId="20" fillId="55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164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0" fillId="55" borderId="0" xfId="0" applyFont="1" applyFill="1" applyBorder="1" applyAlignment="1">
      <alignment/>
    </xf>
    <xf numFmtId="0" fontId="21" fillId="55" borderId="0" xfId="0" applyFont="1" applyFill="1" applyBorder="1" applyAlignment="1">
      <alignment horizontal="left" vertical="center"/>
    </xf>
    <xf numFmtId="9" fontId="60" fillId="56" borderId="0" xfId="258" applyFont="1" applyFill="1" applyBorder="1" applyAlignment="1">
      <alignment horizontal="center" vertical="center"/>
    </xf>
    <xf numFmtId="0" fontId="24" fillId="55" borderId="0" xfId="0" applyFont="1" applyFill="1" applyBorder="1" applyAlignment="1">
      <alignment horizontal="left" vertical="center"/>
    </xf>
    <xf numFmtId="0" fontId="21" fillId="55" borderId="0" xfId="0" applyFont="1" applyFill="1" applyBorder="1" applyAlignment="1">
      <alignment horizontal="center" vertical="center"/>
    </xf>
    <xf numFmtId="164" fontId="20" fillId="55" borderId="0" xfId="0" applyNumberFormat="1" applyFont="1" applyFill="1" applyBorder="1" applyAlignment="1">
      <alignment horizontal="center" vertical="center"/>
    </xf>
    <xf numFmtId="2" fontId="20" fillId="55" borderId="0" xfId="0" applyNumberFormat="1" applyFont="1" applyFill="1" applyBorder="1" applyAlignment="1">
      <alignment horizontal="center" vertical="center"/>
    </xf>
    <xf numFmtId="0" fontId="21" fillId="55" borderId="0" xfId="0" applyFont="1" applyFill="1" applyBorder="1" applyAlignment="1">
      <alignment/>
    </xf>
    <xf numFmtId="0" fontId="23" fillId="0" borderId="0" xfId="0" applyFont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/>
      <protection hidden="1"/>
    </xf>
    <xf numFmtId="1" fontId="23" fillId="0" borderId="0" xfId="0" applyNumberFormat="1" applyFont="1" applyFill="1" applyBorder="1" applyAlignment="1" applyProtection="1">
      <alignment horizontal="center" vertical="center"/>
      <protection hidden="1"/>
    </xf>
    <xf numFmtId="165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61" fillId="0" borderId="0" xfId="0" applyFont="1" applyBorder="1" applyAlignment="1" applyProtection="1">
      <alignment horizontal="center" vertical="center"/>
      <protection hidden="1"/>
    </xf>
    <xf numFmtId="2" fontId="23" fillId="0" borderId="19" xfId="0" applyNumberFormat="1" applyFont="1" applyBorder="1" applyAlignment="1" applyProtection="1">
      <alignment horizontal="center"/>
      <protection hidden="1"/>
    </xf>
    <xf numFmtId="167" fontId="23" fillId="0" borderId="0" xfId="258" applyNumberFormat="1" applyFont="1" applyBorder="1" applyAlignment="1" applyProtection="1">
      <alignment/>
      <protection hidden="1"/>
    </xf>
    <xf numFmtId="2" fontId="62" fillId="56" borderId="20" xfId="258" applyNumberFormat="1" applyFont="1" applyFill="1" applyBorder="1" applyAlignment="1" applyProtection="1">
      <alignment horizontal="center" vertical="center"/>
      <protection locked="0"/>
    </xf>
    <xf numFmtId="0" fontId="20" fillId="56" borderId="0" xfId="0" applyFont="1" applyFill="1" applyAlignment="1">
      <alignment/>
    </xf>
    <xf numFmtId="0" fontId="63" fillId="56" borderId="0" xfId="0" applyFont="1" applyFill="1" applyAlignment="1">
      <alignment horizontal="left" vertical="center"/>
    </xf>
    <xf numFmtId="0" fontId="64" fillId="56" borderId="0" xfId="0" applyFont="1" applyFill="1" applyAlignment="1">
      <alignment/>
    </xf>
    <xf numFmtId="0" fontId="65" fillId="56" borderId="0" xfId="0" applyFont="1" applyFill="1" applyAlignment="1">
      <alignment/>
    </xf>
    <xf numFmtId="0" fontId="66" fillId="56" borderId="0" xfId="0" applyFont="1" applyFill="1" applyAlignment="1">
      <alignment horizontal="left" vertical="center"/>
    </xf>
    <xf numFmtId="1" fontId="64" fillId="56" borderId="0" xfId="0" applyNumberFormat="1" applyFont="1" applyFill="1" applyBorder="1" applyAlignment="1">
      <alignment horizontal="center" vertical="center"/>
    </xf>
    <xf numFmtId="165" fontId="64" fillId="56" borderId="0" xfId="0" applyNumberFormat="1" applyFont="1" applyFill="1" applyBorder="1" applyAlignment="1">
      <alignment horizontal="center" vertical="center"/>
    </xf>
    <xf numFmtId="0" fontId="0" fillId="0" borderId="0" xfId="241">
      <alignment/>
      <protection/>
    </xf>
    <xf numFmtId="0" fontId="23" fillId="0" borderId="0" xfId="241" applyFont="1" applyProtection="1">
      <alignment/>
      <protection hidden="1"/>
    </xf>
    <xf numFmtId="0" fontId="22" fillId="0" borderId="0" xfId="241" applyFont="1" applyProtection="1">
      <alignment/>
      <protection hidden="1"/>
    </xf>
    <xf numFmtId="0" fontId="63" fillId="56" borderId="0" xfId="0" applyFont="1" applyFill="1" applyBorder="1" applyAlignment="1">
      <alignment horizontal="left" vertical="center"/>
    </xf>
    <xf numFmtId="0" fontId="64" fillId="56" borderId="0" xfId="0" applyFont="1" applyFill="1" applyBorder="1" applyAlignment="1">
      <alignment/>
    </xf>
    <xf numFmtId="164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67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68" fillId="0" borderId="0" xfId="0" applyFont="1" applyFill="1" applyBorder="1" applyAlignment="1" applyProtection="1">
      <alignment horizontal="center" vertical="center"/>
      <protection hidden="1"/>
    </xf>
    <xf numFmtId="170" fontId="23" fillId="0" borderId="0" xfId="0" applyNumberFormat="1" applyFont="1" applyFill="1" applyBorder="1" applyAlignment="1" applyProtection="1">
      <alignment horizontal="center" vertical="center"/>
      <protection hidden="1"/>
    </xf>
    <xf numFmtId="170" fontId="23" fillId="0" borderId="0" xfId="0" applyNumberFormat="1" applyFont="1" applyBorder="1" applyAlignment="1" applyProtection="1">
      <alignment horizontal="center"/>
      <protection hidden="1"/>
    </xf>
    <xf numFmtId="0" fontId="68" fillId="0" borderId="0" xfId="241" applyFont="1" applyFill="1" applyBorder="1" applyAlignment="1" applyProtection="1">
      <alignment horizontal="center" vertical="center"/>
      <protection hidden="1"/>
    </xf>
    <xf numFmtId="2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241" applyFont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center"/>
      <protection hidden="1"/>
    </xf>
    <xf numFmtId="0" fontId="69" fillId="0" borderId="0" xfId="0" applyFont="1" applyBorder="1" applyAlignment="1" applyProtection="1">
      <alignment/>
      <protection hidden="1"/>
    </xf>
    <xf numFmtId="166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 horizontal="center"/>
      <protection hidden="1"/>
    </xf>
    <xf numFmtId="164" fontId="22" fillId="0" borderId="0" xfId="0" applyNumberFormat="1" applyFont="1" applyFill="1" applyBorder="1" applyAlignment="1" applyProtection="1">
      <alignment horizontal="center" vertical="center"/>
      <protection hidden="1"/>
    </xf>
    <xf numFmtId="164" fontId="22" fillId="0" borderId="0" xfId="0" applyNumberFormat="1" applyFont="1" applyFill="1" applyBorder="1" applyAlignment="1" applyProtection="1">
      <alignment horizontal="center"/>
      <protection hidden="1"/>
    </xf>
    <xf numFmtId="164" fontId="23" fillId="0" borderId="21" xfId="0" applyNumberFormat="1" applyFont="1" applyFill="1" applyBorder="1" applyAlignment="1" applyProtection="1">
      <alignment horizontal="center" vertical="center"/>
      <protection hidden="1"/>
    </xf>
    <xf numFmtId="164" fontId="23" fillId="0" borderId="22" xfId="0" applyNumberFormat="1" applyFont="1" applyFill="1" applyBorder="1" applyAlignment="1" applyProtection="1">
      <alignment horizontal="center" vertical="center"/>
      <protection hidden="1"/>
    </xf>
    <xf numFmtId="164" fontId="23" fillId="0" borderId="23" xfId="0" applyNumberFormat="1" applyFont="1" applyFill="1" applyBorder="1" applyAlignment="1" applyProtection="1">
      <alignment horizontal="center" vertical="center"/>
      <protection hidden="1"/>
    </xf>
    <xf numFmtId="164" fontId="23" fillId="0" borderId="23" xfId="0" applyNumberFormat="1" applyFont="1" applyBorder="1" applyAlignment="1" applyProtection="1">
      <alignment horizontal="center"/>
      <protection hidden="1"/>
    </xf>
    <xf numFmtId="164" fontId="23" fillId="0" borderId="24" xfId="0" applyNumberFormat="1" applyFont="1" applyBorder="1" applyAlignment="1" applyProtection="1">
      <alignment horizontal="center"/>
      <protection hidden="1"/>
    </xf>
    <xf numFmtId="164" fontId="23" fillId="0" borderId="25" xfId="0" applyNumberFormat="1" applyFont="1" applyFill="1" applyBorder="1" applyAlignment="1" applyProtection="1">
      <alignment horizontal="center" vertical="center"/>
      <protection hidden="1"/>
    </xf>
    <xf numFmtId="164" fontId="23" fillId="0" borderId="0" xfId="0" applyNumberFormat="1" applyFont="1" applyBorder="1" applyAlignment="1" applyProtection="1">
      <alignment horizontal="center"/>
      <protection hidden="1"/>
    </xf>
    <xf numFmtId="164" fontId="23" fillId="0" borderId="26" xfId="0" applyNumberFormat="1" applyFont="1" applyBorder="1" applyAlignment="1" applyProtection="1">
      <alignment horizontal="center"/>
      <protection hidden="1"/>
    </xf>
    <xf numFmtId="164" fontId="23" fillId="0" borderId="25" xfId="0" applyNumberFormat="1" applyFont="1" applyFill="1" applyBorder="1" applyAlignment="1" applyProtection="1">
      <alignment horizontal="center"/>
      <protection hidden="1"/>
    </xf>
    <xf numFmtId="164" fontId="23" fillId="0" borderId="0" xfId="0" applyNumberFormat="1" applyFont="1" applyFill="1" applyBorder="1" applyAlignment="1" applyProtection="1">
      <alignment horizontal="center"/>
      <protection hidden="1"/>
    </xf>
    <xf numFmtId="164" fontId="23" fillId="0" borderId="27" xfId="0" applyNumberFormat="1" applyFont="1" applyFill="1" applyBorder="1" applyAlignment="1" applyProtection="1">
      <alignment horizontal="center" vertical="center"/>
      <protection hidden="1"/>
    </xf>
    <xf numFmtId="164" fontId="23" fillId="0" borderId="21" xfId="0" applyNumberFormat="1" applyFont="1" applyFill="1" applyBorder="1" applyAlignment="1" applyProtection="1">
      <alignment horizontal="center"/>
      <protection hidden="1"/>
    </xf>
    <xf numFmtId="164" fontId="23" fillId="0" borderId="28" xfId="0" applyNumberFormat="1" applyFont="1" applyBorder="1" applyAlignment="1" applyProtection="1">
      <alignment horizontal="center"/>
      <protection hidden="1"/>
    </xf>
    <xf numFmtId="0" fontId="63" fillId="56" borderId="0" xfId="0" applyFont="1" applyFill="1" applyBorder="1" applyAlignment="1">
      <alignment horizontal="center" vertical="center"/>
    </xf>
    <xf numFmtId="170" fontId="64" fillId="56" borderId="0" xfId="0" applyNumberFormat="1" applyFont="1" applyFill="1" applyBorder="1" applyAlignment="1" applyProtection="1">
      <alignment horizontal="center" vertical="center"/>
      <protection hidden="1"/>
    </xf>
    <xf numFmtId="164" fontId="64" fillId="56" borderId="0" xfId="0" applyNumberFormat="1" applyFont="1" applyFill="1" applyBorder="1" applyAlignment="1">
      <alignment horizontal="center" vertical="center"/>
    </xf>
    <xf numFmtId="2" fontId="64" fillId="56" borderId="0" xfId="0" applyNumberFormat="1" applyFont="1" applyFill="1" applyBorder="1" applyAlignment="1" applyProtection="1">
      <alignment horizontal="center" vertical="center"/>
      <protection hidden="1"/>
    </xf>
    <xf numFmtId="2" fontId="64" fillId="56" borderId="0" xfId="0" applyNumberFormat="1" applyFont="1" applyFill="1" applyBorder="1" applyAlignment="1">
      <alignment horizontal="center" vertical="center"/>
    </xf>
    <xf numFmtId="0" fontId="63" fillId="56" borderId="0" xfId="0" applyFont="1" applyFill="1" applyBorder="1" applyAlignment="1">
      <alignment/>
    </xf>
    <xf numFmtId="165" fontId="68" fillId="0" borderId="0" xfId="0" applyNumberFormat="1" applyFont="1" applyFill="1" applyBorder="1" applyAlignment="1" applyProtection="1">
      <alignment horizontal="center" vertical="center"/>
      <protection hidden="1"/>
    </xf>
    <xf numFmtId="2" fontId="23" fillId="0" borderId="29" xfId="0" applyNumberFormat="1" applyFont="1" applyFill="1" applyBorder="1" applyAlignment="1" applyProtection="1">
      <alignment horizontal="center" vertical="center"/>
      <protection hidden="1"/>
    </xf>
    <xf numFmtId="2" fontId="23" fillId="0" borderId="30" xfId="0" applyNumberFormat="1" applyFont="1" applyFill="1" applyBorder="1" applyAlignment="1" applyProtection="1">
      <alignment horizontal="center" vertical="center"/>
      <protection hidden="1"/>
    </xf>
    <xf numFmtId="2" fontId="23" fillId="0" borderId="31" xfId="0" applyNumberFormat="1" applyFont="1" applyFill="1" applyBorder="1" applyAlignment="1" applyProtection="1">
      <alignment horizontal="center" vertical="center"/>
      <protection hidden="1"/>
    </xf>
    <xf numFmtId="164" fontId="23" fillId="0" borderId="29" xfId="0" applyNumberFormat="1" applyFont="1" applyBorder="1" applyAlignment="1" applyProtection="1">
      <alignment horizontal="center"/>
      <protection hidden="1"/>
    </xf>
    <xf numFmtId="164" fontId="23" fillId="0" borderId="30" xfId="0" applyNumberFormat="1" applyFont="1" applyBorder="1" applyAlignment="1" applyProtection="1">
      <alignment horizontal="center"/>
      <protection hidden="1"/>
    </xf>
    <xf numFmtId="164" fontId="23" fillId="0" borderId="31" xfId="0" applyNumberFormat="1" applyFont="1" applyBorder="1" applyAlignment="1" applyProtection="1">
      <alignment horizontal="center"/>
      <protection hidden="1"/>
    </xf>
    <xf numFmtId="0" fontId="63" fillId="56" borderId="0" xfId="0" applyFont="1" applyFill="1" applyBorder="1" applyAlignment="1">
      <alignment horizontal="center"/>
    </xf>
    <xf numFmtId="0" fontId="63" fillId="56" borderId="0" xfId="0" applyFont="1" applyFill="1" applyAlignment="1">
      <alignment horizontal="right"/>
    </xf>
    <xf numFmtId="0" fontId="63" fillId="56" borderId="0" xfId="0" applyFont="1" applyFill="1" applyAlignment="1">
      <alignment/>
    </xf>
    <xf numFmtId="2" fontId="64" fillId="56" borderId="20" xfId="0" applyNumberFormat="1" applyFont="1" applyFill="1" applyBorder="1" applyAlignment="1" applyProtection="1">
      <alignment horizontal="center" vertical="center"/>
      <protection hidden="1"/>
    </xf>
    <xf numFmtId="2" fontId="63" fillId="56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2" fontId="22" fillId="0" borderId="0" xfId="0" applyNumberFormat="1" applyFont="1" applyBorder="1" applyAlignment="1" applyProtection="1">
      <alignment horizontal="center"/>
      <protection hidden="1"/>
    </xf>
    <xf numFmtId="165" fontId="23" fillId="0" borderId="32" xfId="0" applyNumberFormat="1" applyFont="1" applyFill="1" applyBorder="1" applyAlignment="1" applyProtection="1">
      <alignment horizontal="center" vertical="center"/>
      <protection hidden="1"/>
    </xf>
    <xf numFmtId="165" fontId="23" fillId="0" borderId="33" xfId="0" applyNumberFormat="1" applyFont="1" applyFill="1" applyBorder="1" applyAlignment="1" applyProtection="1">
      <alignment horizontal="center" vertical="center"/>
      <protection hidden="1"/>
    </xf>
    <xf numFmtId="165" fontId="23" fillId="0" borderId="0" xfId="0" applyNumberFormat="1" applyFont="1" applyBorder="1" applyAlignment="1" applyProtection="1">
      <alignment horizontal="center"/>
      <protection hidden="1"/>
    </xf>
    <xf numFmtId="2" fontId="22" fillId="0" borderId="0" xfId="0" applyNumberFormat="1" applyFont="1" applyFill="1" applyBorder="1" applyAlignment="1" applyProtection="1">
      <alignment horizontal="center" vertical="center"/>
      <protection hidden="1"/>
    </xf>
    <xf numFmtId="170" fontId="22" fillId="0" borderId="0" xfId="0" applyNumberFormat="1" applyFont="1" applyFill="1" applyBorder="1" applyAlignment="1" applyProtection="1">
      <alignment horizontal="center" vertical="center"/>
      <protection hidden="1"/>
    </xf>
    <xf numFmtId="2" fontId="22" fillId="0" borderId="0" xfId="0" applyNumberFormat="1" applyFont="1" applyFill="1" applyBorder="1" applyAlignment="1" applyProtection="1">
      <alignment horizontal="left" vertical="center"/>
      <protection hidden="1"/>
    </xf>
    <xf numFmtId="165" fontId="23" fillId="0" borderId="34" xfId="0" applyNumberFormat="1" applyFont="1" applyBorder="1" applyAlignment="1" applyProtection="1">
      <alignment horizontal="center"/>
      <protection hidden="1"/>
    </xf>
    <xf numFmtId="165" fontId="23" fillId="0" borderId="34" xfId="0" applyNumberFormat="1" applyFont="1" applyFill="1" applyBorder="1" applyAlignment="1" applyProtection="1">
      <alignment horizontal="center"/>
      <protection hidden="1"/>
    </xf>
    <xf numFmtId="165" fontId="23" fillId="0" borderId="35" xfId="0" applyNumberFormat="1" applyFont="1" applyBorder="1" applyAlignment="1" applyProtection="1">
      <alignment horizontal="center"/>
      <protection hidden="1"/>
    </xf>
    <xf numFmtId="165" fontId="23" fillId="0" borderId="36" xfId="0" applyNumberFormat="1" applyFont="1" applyBorder="1" applyAlignment="1" applyProtection="1">
      <alignment horizontal="center"/>
      <protection hidden="1"/>
    </xf>
    <xf numFmtId="165" fontId="23" fillId="0" borderId="37" xfId="0" applyNumberFormat="1" applyFont="1" applyBorder="1" applyAlignment="1" applyProtection="1">
      <alignment horizontal="center"/>
      <protection hidden="1"/>
    </xf>
    <xf numFmtId="165" fontId="23" fillId="0" borderId="38" xfId="0" applyNumberFormat="1" applyFont="1" applyBorder="1" applyAlignment="1" applyProtection="1">
      <alignment horizontal="center"/>
      <protection hidden="1"/>
    </xf>
    <xf numFmtId="165" fontId="23" fillId="0" borderId="39" xfId="0" applyNumberFormat="1" applyFont="1" applyFill="1" applyBorder="1" applyAlignment="1" applyProtection="1">
      <alignment horizontal="center"/>
      <protection hidden="1"/>
    </xf>
    <xf numFmtId="1" fontId="22" fillId="0" borderId="0" xfId="258" applyNumberFormat="1" applyFont="1" applyBorder="1" applyAlignment="1" applyProtection="1">
      <alignment/>
      <protection hidden="1"/>
    </xf>
    <xf numFmtId="164" fontId="23" fillId="0" borderId="40" xfId="0" applyNumberFormat="1" applyFont="1" applyBorder="1" applyAlignment="1" applyProtection="1">
      <alignment horizontal="center"/>
      <protection hidden="1"/>
    </xf>
    <xf numFmtId="164" fontId="23" fillId="0" borderId="41" xfId="0" applyNumberFormat="1" applyFont="1" applyBorder="1" applyAlignment="1" applyProtection="1">
      <alignment horizontal="center"/>
      <protection hidden="1"/>
    </xf>
    <xf numFmtId="1" fontId="62" fillId="56" borderId="20" xfId="259" applyNumberFormat="1" applyFont="1" applyFill="1" applyBorder="1" applyAlignment="1" applyProtection="1">
      <alignment horizontal="center" vertical="center"/>
      <protection locked="0"/>
    </xf>
    <xf numFmtId="165" fontId="23" fillId="0" borderId="42" xfId="0" applyNumberFormat="1" applyFont="1" applyFill="1" applyBorder="1" applyAlignment="1" applyProtection="1">
      <alignment horizontal="center" vertical="center"/>
      <protection hidden="1"/>
    </xf>
    <xf numFmtId="165" fontId="23" fillId="0" borderId="43" xfId="0" applyNumberFormat="1" applyFont="1" applyFill="1" applyBorder="1" applyAlignment="1" applyProtection="1">
      <alignment horizontal="center" vertical="center"/>
      <protection hidden="1"/>
    </xf>
    <xf numFmtId="165" fontId="23" fillId="0" borderId="44" xfId="0" applyNumberFormat="1" applyFont="1" applyFill="1" applyBorder="1" applyAlignment="1" applyProtection="1">
      <alignment horizontal="center" vertical="center"/>
      <protection hidden="1"/>
    </xf>
    <xf numFmtId="165" fontId="23" fillId="0" borderId="34" xfId="0" applyNumberFormat="1" applyFont="1" applyFill="1" applyBorder="1" applyAlignment="1" applyProtection="1">
      <alignment horizontal="center" vertical="center"/>
      <protection hidden="1"/>
    </xf>
    <xf numFmtId="165" fontId="23" fillId="0" borderId="3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165" fontId="36" fillId="0" borderId="19" xfId="0" applyNumberFormat="1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1" fontId="36" fillId="0" borderId="19" xfId="0" applyNumberFormat="1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70" fillId="0" borderId="0" xfId="0" applyFont="1" applyFill="1" applyBorder="1" applyAlignment="1" applyProtection="1">
      <alignment horizontal="center"/>
      <protection hidden="1"/>
    </xf>
    <xf numFmtId="164" fontId="23" fillId="0" borderId="19" xfId="0" applyNumberFormat="1" applyFont="1" applyBorder="1" applyAlignment="1" applyProtection="1">
      <alignment horizontal="center"/>
      <protection hidden="1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1" xfId="0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Alignment="1">
      <alignment/>
    </xf>
    <xf numFmtId="1" fontId="36" fillId="0" borderId="35" xfId="0" applyNumberFormat="1" applyFont="1" applyFill="1" applyBorder="1" applyAlignment="1">
      <alignment horizontal="center"/>
    </xf>
    <xf numFmtId="1" fontId="36" fillId="0" borderId="36" xfId="0" applyNumberFormat="1" applyFont="1" applyFill="1" applyBorder="1" applyAlignment="1">
      <alignment horizontal="center"/>
    </xf>
    <xf numFmtId="1" fontId="36" fillId="0" borderId="39" xfId="0" applyNumberFormat="1" applyFont="1" applyFill="1" applyBorder="1" applyAlignment="1">
      <alignment horizontal="center"/>
    </xf>
    <xf numFmtId="1" fontId="23" fillId="0" borderId="19" xfId="0" applyNumberFormat="1" applyFont="1" applyBorder="1" applyAlignment="1">
      <alignment horizontal="center"/>
    </xf>
    <xf numFmtId="1" fontId="23" fillId="0" borderId="19" xfId="0" applyNumberFormat="1" applyFont="1" applyBorder="1" applyAlignment="1">
      <alignment horizontal="center" vertical="center"/>
    </xf>
    <xf numFmtId="1" fontId="25" fillId="0" borderId="37" xfId="0" applyNumberFormat="1" applyFont="1" applyBorder="1" applyAlignment="1">
      <alignment horizontal="center"/>
    </xf>
    <xf numFmtId="0" fontId="71" fillId="57" borderId="0" xfId="0" applyFont="1" applyFill="1" applyAlignment="1">
      <alignment/>
    </xf>
    <xf numFmtId="0" fontId="0" fillId="57" borderId="0" xfId="0" applyFill="1" applyAlignment="1">
      <alignment/>
    </xf>
    <xf numFmtId="14" fontId="25" fillId="57" borderId="0" xfId="0" applyNumberFormat="1" applyFont="1" applyFill="1" applyAlignment="1">
      <alignment/>
    </xf>
    <xf numFmtId="0" fontId="0" fillId="57" borderId="32" xfId="0" applyFont="1" applyFill="1" applyBorder="1" applyAlignment="1">
      <alignment/>
    </xf>
    <xf numFmtId="0" fontId="0" fillId="57" borderId="34" xfId="0" applyFill="1" applyBorder="1" applyAlignment="1">
      <alignment/>
    </xf>
    <xf numFmtId="0" fontId="0" fillId="57" borderId="35" xfId="0" applyFill="1" applyBorder="1" applyAlignment="1">
      <alignment/>
    </xf>
    <xf numFmtId="0" fontId="0" fillId="57" borderId="33" xfId="0" applyFont="1" applyFill="1" applyBorder="1" applyAlignment="1">
      <alignment/>
    </xf>
    <xf numFmtId="0" fontId="0" fillId="57" borderId="0" xfId="0" applyFill="1" applyBorder="1" applyAlignment="1">
      <alignment/>
    </xf>
    <xf numFmtId="0" fontId="0" fillId="57" borderId="36" xfId="0" applyFill="1" applyBorder="1" applyAlignment="1">
      <alignment/>
    </xf>
    <xf numFmtId="0" fontId="0" fillId="57" borderId="37" xfId="0" applyFont="1" applyFill="1" applyBorder="1" applyAlignment="1">
      <alignment/>
    </xf>
    <xf numFmtId="0" fontId="0" fillId="57" borderId="38" xfId="0" applyFill="1" applyBorder="1" applyAlignment="1">
      <alignment/>
    </xf>
    <xf numFmtId="0" fontId="0" fillId="57" borderId="39" xfId="0" applyFill="1" applyBorder="1" applyAlignment="1">
      <alignment/>
    </xf>
    <xf numFmtId="166" fontId="23" fillId="0" borderId="29" xfId="0" applyNumberFormat="1" applyFont="1" applyFill="1" applyBorder="1" applyAlignment="1" applyProtection="1">
      <alignment horizontal="center" vertical="center"/>
      <protection hidden="1"/>
    </xf>
    <xf numFmtId="166" fontId="23" fillId="0" borderId="30" xfId="0" applyNumberFormat="1" applyFont="1" applyFill="1" applyBorder="1" applyAlignment="1" applyProtection="1">
      <alignment horizontal="center" vertical="center"/>
      <protection hidden="1"/>
    </xf>
    <xf numFmtId="166" fontId="23" fillId="0" borderId="31" xfId="0" applyNumberFormat="1" applyFont="1" applyFill="1" applyBorder="1" applyAlignment="1" applyProtection="1">
      <alignment horizontal="center" vertical="center"/>
      <protection hidden="1"/>
    </xf>
    <xf numFmtId="166" fontId="23" fillId="0" borderId="30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66" fontId="23" fillId="0" borderId="0" xfId="0" applyNumberFormat="1" applyFont="1" applyBorder="1" applyAlignment="1" applyProtection="1">
      <alignment/>
      <protection hidden="1"/>
    </xf>
    <xf numFmtId="164" fontId="64" fillId="56" borderId="20" xfId="0" applyNumberFormat="1" applyFont="1" applyFill="1" applyBorder="1" applyAlignment="1" applyProtection="1">
      <alignment horizontal="center" vertical="center"/>
      <protection hidden="1"/>
    </xf>
    <xf numFmtId="166" fontId="64" fillId="56" borderId="20" xfId="0" applyNumberFormat="1" applyFont="1" applyFill="1" applyBorder="1" applyAlignment="1" applyProtection="1">
      <alignment horizontal="center" vertical="center"/>
      <protection hidden="1"/>
    </xf>
    <xf numFmtId="0" fontId="20" fillId="56" borderId="0" xfId="0" applyFont="1" applyFill="1" applyAlignment="1" applyProtection="1">
      <alignment/>
      <protection hidden="1"/>
    </xf>
    <xf numFmtId="0" fontId="63" fillId="56" borderId="0" xfId="0" applyFont="1" applyFill="1" applyBorder="1" applyAlignment="1" applyProtection="1">
      <alignment horizontal="left" vertical="center"/>
      <protection hidden="1"/>
    </xf>
    <xf numFmtId="0" fontId="64" fillId="56" borderId="0" xfId="0" applyFont="1" applyFill="1" applyBorder="1" applyAlignment="1" applyProtection="1">
      <alignment/>
      <protection hidden="1"/>
    </xf>
    <xf numFmtId="164" fontId="64" fillId="56" borderId="0" xfId="0" applyNumberFormat="1" applyFont="1" applyFill="1" applyBorder="1" applyAlignment="1" applyProtection="1">
      <alignment horizontal="center" vertical="center"/>
      <protection hidden="1"/>
    </xf>
    <xf numFmtId="165" fontId="64" fillId="56" borderId="0" xfId="0" applyNumberFormat="1" applyFont="1" applyFill="1" applyBorder="1" applyAlignment="1" applyProtection="1">
      <alignment horizontal="center" vertical="center"/>
      <protection hidden="1"/>
    </xf>
    <xf numFmtId="0" fontId="63" fillId="56" borderId="0" xfId="0" applyFont="1" applyFill="1" applyAlignment="1" applyProtection="1">
      <alignment/>
      <protection hidden="1"/>
    </xf>
    <xf numFmtId="2" fontId="64" fillId="56" borderId="20" xfId="0" applyNumberFormat="1" applyFont="1" applyFill="1" applyBorder="1" applyAlignment="1" applyProtection="1">
      <alignment horizontal="center"/>
      <protection hidden="1"/>
    </xf>
    <xf numFmtId="1" fontId="64" fillId="56" borderId="0" xfId="0" applyNumberFormat="1" applyFont="1" applyFill="1" applyBorder="1" applyAlignment="1" applyProtection="1">
      <alignment horizontal="center" vertical="center"/>
      <protection hidden="1"/>
    </xf>
    <xf numFmtId="1" fontId="64" fillId="56" borderId="20" xfId="0" applyNumberFormat="1" applyFont="1" applyFill="1" applyBorder="1" applyAlignment="1" applyProtection="1">
      <alignment horizontal="center"/>
      <protection hidden="1"/>
    </xf>
    <xf numFmtId="0" fontId="63" fillId="56" borderId="0" xfId="0" applyFont="1" applyFill="1" applyBorder="1" applyAlignment="1" applyProtection="1">
      <alignment horizontal="center" vertical="center"/>
      <protection hidden="1"/>
    </xf>
    <xf numFmtId="164" fontId="64" fillId="56" borderId="20" xfId="0" applyNumberFormat="1" applyFont="1" applyFill="1" applyBorder="1" applyAlignment="1" applyProtection="1">
      <alignment horizontal="center"/>
      <protection hidden="1"/>
    </xf>
    <xf numFmtId="0" fontId="64" fillId="56" borderId="20" xfId="0" applyFont="1" applyFill="1" applyBorder="1" applyAlignment="1" applyProtection="1">
      <alignment horizontal="center"/>
      <protection hidden="1"/>
    </xf>
    <xf numFmtId="1" fontId="25" fillId="0" borderId="33" xfId="0" applyNumberFormat="1" applyFont="1" applyBorder="1" applyAlignment="1">
      <alignment horizontal="center"/>
    </xf>
    <xf numFmtId="0" fontId="72" fillId="56" borderId="0" xfId="0" applyFont="1" applyFill="1" applyAlignment="1">
      <alignment horizontal="center"/>
    </xf>
  </cellXfs>
  <cellStyles count="259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2" xfId="21"/>
    <cellStyle name="20% - Accent2 2" xfId="22"/>
    <cellStyle name="20% - Accent2 2 2" xfId="23"/>
    <cellStyle name="20% - Accent2 3" xfId="24"/>
    <cellStyle name="20% - Accent2 3 2" xfId="25"/>
    <cellStyle name="20% - Accent2 4" xfId="26"/>
    <cellStyle name="20% - Accent3" xfId="27"/>
    <cellStyle name="20% - Accent3 2" xfId="28"/>
    <cellStyle name="20% - Accent3 2 2" xfId="29"/>
    <cellStyle name="20% - Accent3 3" xfId="30"/>
    <cellStyle name="20% - Accent3 3 2" xfId="31"/>
    <cellStyle name="20% - Accent3 4" xfId="32"/>
    <cellStyle name="20% - Accent4" xfId="33"/>
    <cellStyle name="20% - Accent4 2" xfId="34"/>
    <cellStyle name="20% - Accent4 2 2" xfId="35"/>
    <cellStyle name="20% - Accent4 3" xfId="36"/>
    <cellStyle name="20% - Accent4 3 2" xfId="37"/>
    <cellStyle name="20% - Accent4 4" xfId="38"/>
    <cellStyle name="20% - Accent5" xfId="39"/>
    <cellStyle name="20% - Accent5 2" xfId="40"/>
    <cellStyle name="20% - Accent5 2 2" xfId="41"/>
    <cellStyle name="20% - Accent5 3" xfId="42"/>
    <cellStyle name="20% - Accent5 3 2" xfId="43"/>
    <cellStyle name="20% - Accent5 4" xfId="44"/>
    <cellStyle name="20% - Accent6" xfId="45"/>
    <cellStyle name="20% - Accent6 2" xfId="46"/>
    <cellStyle name="20% - Accent6 2 2" xfId="47"/>
    <cellStyle name="20% - Accent6 3" xfId="48"/>
    <cellStyle name="20% - Accent6 3 2" xfId="49"/>
    <cellStyle name="20% - Accent6 4" xfId="50"/>
    <cellStyle name="40% - Accent1" xfId="51"/>
    <cellStyle name="40% - Accent1 2" xfId="52"/>
    <cellStyle name="40% - Accent1 2 2" xfId="53"/>
    <cellStyle name="40% - Accent1 3" xfId="54"/>
    <cellStyle name="40% - Accent1 3 2" xfId="55"/>
    <cellStyle name="40% - Accent1 4" xfId="56"/>
    <cellStyle name="40% - Accent2" xfId="57"/>
    <cellStyle name="40% - Accent2 2" xfId="58"/>
    <cellStyle name="40% - Accent2 2 2" xfId="59"/>
    <cellStyle name="40% - Accent2 3" xfId="60"/>
    <cellStyle name="40% - Accent2 3 2" xfId="61"/>
    <cellStyle name="40% - Accent2 4" xfId="62"/>
    <cellStyle name="40% - Accent3" xfId="63"/>
    <cellStyle name="40% - Accent3 2" xfId="64"/>
    <cellStyle name="40% - Accent3 2 2" xfId="65"/>
    <cellStyle name="40% - Accent3 3" xfId="66"/>
    <cellStyle name="40% - Accent3 3 2" xfId="67"/>
    <cellStyle name="40% - Accent3 4" xfId="68"/>
    <cellStyle name="40% - Accent4" xfId="69"/>
    <cellStyle name="40% - Accent4 2" xfId="70"/>
    <cellStyle name="40% - Accent4 2 2" xfId="71"/>
    <cellStyle name="40% - Accent4 3" xfId="72"/>
    <cellStyle name="40% - Accent4 3 2" xfId="73"/>
    <cellStyle name="40% - Accent4 4" xfId="74"/>
    <cellStyle name="40% - Accent5" xfId="75"/>
    <cellStyle name="40% - Accent5 2" xfId="76"/>
    <cellStyle name="40% - Accent5 2 2" xfId="77"/>
    <cellStyle name="40% - Accent5 3" xfId="78"/>
    <cellStyle name="40% - Accent5 3 2" xfId="79"/>
    <cellStyle name="40% - Accent5 4" xfId="80"/>
    <cellStyle name="40% - Accent6" xfId="81"/>
    <cellStyle name="40% - Accent6 2" xfId="82"/>
    <cellStyle name="40% - Accent6 2 2" xfId="83"/>
    <cellStyle name="40% - Accent6 3" xfId="84"/>
    <cellStyle name="40% - Accent6 3 2" xfId="85"/>
    <cellStyle name="40% - Accent6 4" xfId="86"/>
    <cellStyle name="60% - Accent1" xfId="87"/>
    <cellStyle name="60% - Accent1 2" xfId="88"/>
    <cellStyle name="60% - Accent1 3" xfId="89"/>
    <cellStyle name="60% - Accent1 4" xfId="90"/>
    <cellStyle name="60% - Accent2" xfId="91"/>
    <cellStyle name="60% - Accent2 2" xfId="92"/>
    <cellStyle name="60% - Accent2 3" xfId="93"/>
    <cellStyle name="60% - Accent2 4" xfId="94"/>
    <cellStyle name="60% - Accent3" xfId="95"/>
    <cellStyle name="60% - Accent3 2" xfId="96"/>
    <cellStyle name="60% - Accent3 3" xfId="97"/>
    <cellStyle name="60% - Accent3 4" xfId="98"/>
    <cellStyle name="60% - Accent4" xfId="99"/>
    <cellStyle name="60% - Accent4 2" xfId="100"/>
    <cellStyle name="60% - Accent4 3" xfId="101"/>
    <cellStyle name="60% - Accent4 4" xfId="102"/>
    <cellStyle name="60% - Accent5" xfId="103"/>
    <cellStyle name="60% - Accent5 2" xfId="104"/>
    <cellStyle name="60% - Accent5 3" xfId="105"/>
    <cellStyle name="60% - Accent5 4" xfId="106"/>
    <cellStyle name="60% - Accent6" xfId="107"/>
    <cellStyle name="60% - Accent6 2" xfId="108"/>
    <cellStyle name="60% - Accent6 3" xfId="109"/>
    <cellStyle name="60% - Accent6 4" xfId="110"/>
    <cellStyle name="Accent1" xfId="111"/>
    <cellStyle name="Accent1 2" xfId="112"/>
    <cellStyle name="Accent1 3" xfId="113"/>
    <cellStyle name="Accent1 4" xfId="114"/>
    <cellStyle name="Accent2" xfId="115"/>
    <cellStyle name="Accent2 2" xfId="116"/>
    <cellStyle name="Accent2 3" xfId="117"/>
    <cellStyle name="Accent2 4" xfId="118"/>
    <cellStyle name="Accent3" xfId="119"/>
    <cellStyle name="Accent3 2" xfId="120"/>
    <cellStyle name="Accent3 3" xfId="121"/>
    <cellStyle name="Accent3 4" xfId="122"/>
    <cellStyle name="Accent4" xfId="123"/>
    <cellStyle name="Accent4 2" xfId="124"/>
    <cellStyle name="Accent4 3" xfId="125"/>
    <cellStyle name="Accent4 4" xfId="126"/>
    <cellStyle name="Accent5" xfId="127"/>
    <cellStyle name="Accent5 2" xfId="128"/>
    <cellStyle name="Accent5 3" xfId="129"/>
    <cellStyle name="Accent5 4" xfId="130"/>
    <cellStyle name="Accent6" xfId="131"/>
    <cellStyle name="Accent6 2" xfId="132"/>
    <cellStyle name="Accent6 3" xfId="133"/>
    <cellStyle name="Accent6 4" xfId="134"/>
    <cellStyle name="Bad" xfId="135"/>
    <cellStyle name="Bad 2" xfId="136"/>
    <cellStyle name="Bad 3" xfId="137"/>
    <cellStyle name="Bad 4" xfId="138"/>
    <cellStyle name="Calculation" xfId="139"/>
    <cellStyle name="Calculation 2" xfId="140"/>
    <cellStyle name="Calculation 3" xfId="141"/>
    <cellStyle name="Calculation 4" xfId="142"/>
    <cellStyle name="Check Cell" xfId="143"/>
    <cellStyle name="Check Cell 2" xfId="144"/>
    <cellStyle name="Check Cell 3" xfId="145"/>
    <cellStyle name="Check Cell 4" xfId="146"/>
    <cellStyle name="Comma" xfId="147"/>
    <cellStyle name="Comma [0]" xfId="148"/>
    <cellStyle name="Currency" xfId="149"/>
    <cellStyle name="Currency [0]" xfId="150"/>
    <cellStyle name="Explanatory Text" xfId="151"/>
    <cellStyle name="Explanatory Text 2" xfId="152"/>
    <cellStyle name="Explanatory Text 3" xfId="153"/>
    <cellStyle name="Explanatory Text 4" xfId="154"/>
    <cellStyle name="Followed Hyperlink" xfId="155"/>
    <cellStyle name="Good" xfId="156"/>
    <cellStyle name="Good 2" xfId="157"/>
    <cellStyle name="Good 3" xfId="158"/>
    <cellStyle name="Good 4" xfId="159"/>
    <cellStyle name="Heading 1" xfId="160"/>
    <cellStyle name="Heading 1 2" xfId="161"/>
    <cellStyle name="Heading 1 2 2" xfId="162"/>
    <cellStyle name="Heading 1 2 2 2" xfId="163"/>
    <cellStyle name="Heading 1 2 3" xfId="164"/>
    <cellStyle name="Heading 1 2 3 2" xfId="165"/>
    <cellStyle name="Heading 1 2 4" xfId="166"/>
    <cellStyle name="Heading 1 2 4 2" xfId="167"/>
    <cellStyle name="Heading 1 2 5" xfId="168"/>
    <cellStyle name="Heading 1 2 5 2" xfId="169"/>
    <cellStyle name="Heading 1 2 6" xfId="170"/>
    <cellStyle name="Heading 1 2 6 2" xfId="171"/>
    <cellStyle name="Heading 1 2 7" xfId="172"/>
    <cellStyle name="Heading 1 2 7 2" xfId="173"/>
    <cellStyle name="Heading 1 2 8" xfId="174"/>
    <cellStyle name="Heading 1 3" xfId="175"/>
    <cellStyle name="Heading 1 3 2" xfId="176"/>
    <cellStyle name="Heading 1 3 2 2" xfId="177"/>
    <cellStyle name="Heading 1 3 3" xfId="178"/>
    <cellStyle name="Heading 1 3 3 2" xfId="179"/>
    <cellStyle name="Heading 1 3 4" xfId="180"/>
    <cellStyle name="Heading 1 3 4 2" xfId="181"/>
    <cellStyle name="Heading 1 3 5" xfId="182"/>
    <cellStyle name="Heading 1 3 5 2" xfId="183"/>
    <cellStyle name="Heading 1 3 6" xfId="184"/>
    <cellStyle name="Heading 1 3 6 2" xfId="185"/>
    <cellStyle name="Heading 1 3 7" xfId="186"/>
    <cellStyle name="Heading 1 3 7 2" xfId="187"/>
    <cellStyle name="Heading 1 3 8" xfId="188"/>
    <cellStyle name="Heading 1 4" xfId="189"/>
    <cellStyle name="Heading 2" xfId="190"/>
    <cellStyle name="Heading 2 2" xfId="191"/>
    <cellStyle name="Heading 2 2 2" xfId="192"/>
    <cellStyle name="Heading 2 2 2 2" xfId="193"/>
    <cellStyle name="Heading 2 2 3" xfId="194"/>
    <cellStyle name="Heading 2 2 3 2" xfId="195"/>
    <cellStyle name="Heading 2 2 4" xfId="196"/>
    <cellStyle name="Heading 2 2 4 2" xfId="197"/>
    <cellStyle name="Heading 2 2 5" xfId="198"/>
    <cellStyle name="Heading 2 2 5 2" xfId="199"/>
    <cellStyle name="Heading 2 2 6" xfId="200"/>
    <cellStyle name="Heading 2 2 6 2" xfId="201"/>
    <cellStyle name="Heading 2 2 7" xfId="202"/>
    <cellStyle name="Heading 2 2 7 2" xfId="203"/>
    <cellStyle name="Heading 2 2 8" xfId="204"/>
    <cellStyle name="Heading 2 3" xfId="205"/>
    <cellStyle name="Heading 2 3 2" xfId="206"/>
    <cellStyle name="Heading 2 3 2 2" xfId="207"/>
    <cellStyle name="Heading 2 3 3" xfId="208"/>
    <cellStyle name="Heading 2 3 3 2" xfId="209"/>
    <cellStyle name="Heading 2 3 4" xfId="210"/>
    <cellStyle name="Heading 2 3 4 2" xfId="211"/>
    <cellStyle name="Heading 2 3 5" xfId="212"/>
    <cellStyle name="Heading 2 3 5 2" xfId="213"/>
    <cellStyle name="Heading 2 3 6" xfId="214"/>
    <cellStyle name="Heading 2 3 6 2" xfId="215"/>
    <cellStyle name="Heading 2 3 7" xfId="216"/>
    <cellStyle name="Heading 2 3 7 2" xfId="217"/>
    <cellStyle name="Heading 2 3 8" xfId="218"/>
    <cellStyle name="Heading 2 4" xfId="219"/>
    <cellStyle name="Heading 3" xfId="220"/>
    <cellStyle name="Heading 3 2" xfId="221"/>
    <cellStyle name="Heading 3 3" xfId="222"/>
    <cellStyle name="Heading 3 4" xfId="223"/>
    <cellStyle name="Heading 4" xfId="224"/>
    <cellStyle name="Heading 4 2" xfId="225"/>
    <cellStyle name="Heading 4 3" xfId="226"/>
    <cellStyle name="Heading 4 4" xfId="227"/>
    <cellStyle name="Hyperlink" xfId="228"/>
    <cellStyle name="Input" xfId="229"/>
    <cellStyle name="Input 2" xfId="230"/>
    <cellStyle name="Input 3" xfId="231"/>
    <cellStyle name="Input 4" xfId="232"/>
    <cellStyle name="Linked Cell" xfId="233"/>
    <cellStyle name="Linked Cell 2" xfId="234"/>
    <cellStyle name="Linked Cell 3" xfId="235"/>
    <cellStyle name="Linked Cell 4" xfId="236"/>
    <cellStyle name="Neutral" xfId="237"/>
    <cellStyle name="Neutral 2" xfId="238"/>
    <cellStyle name="Neutral 3" xfId="239"/>
    <cellStyle name="Neutral 4" xfId="240"/>
    <cellStyle name="Normal 2" xfId="241"/>
    <cellStyle name="Normal 2 2" xfId="242"/>
    <cellStyle name="Normal 3" xfId="243"/>
    <cellStyle name="Normal 4" xfId="244"/>
    <cellStyle name="Normal 4 2" xfId="245"/>
    <cellStyle name="Normal 5" xfId="246"/>
    <cellStyle name="Normal 6" xfId="247"/>
    <cellStyle name="Note" xfId="248"/>
    <cellStyle name="Note 2" xfId="249"/>
    <cellStyle name="Note 2 2" xfId="250"/>
    <cellStyle name="Note 3" xfId="251"/>
    <cellStyle name="Note 3 2" xfId="252"/>
    <cellStyle name="Note 4" xfId="253"/>
    <cellStyle name="Output" xfId="254"/>
    <cellStyle name="Output 2" xfId="255"/>
    <cellStyle name="Output 3" xfId="256"/>
    <cellStyle name="Output 4" xfId="257"/>
    <cellStyle name="Percent" xfId="258"/>
    <cellStyle name="Percent 2" xfId="259"/>
    <cellStyle name="Percent 3" xfId="260"/>
    <cellStyle name="Title" xfId="261"/>
    <cellStyle name="Title 2" xfId="262"/>
    <cellStyle name="Title 3" xfId="263"/>
    <cellStyle name="Title 4" xfId="264"/>
    <cellStyle name="Total" xfId="265"/>
    <cellStyle name="Total 2" xfId="266"/>
    <cellStyle name="Total 3" xfId="267"/>
    <cellStyle name="Total 4" xfId="268"/>
    <cellStyle name="Warning Text" xfId="269"/>
    <cellStyle name="Warning Text 2" xfId="270"/>
    <cellStyle name="Warning Text 3" xfId="271"/>
    <cellStyle name="Warning Text 4" xfId="272"/>
  </cellStyles>
  <dxfs count="5"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33</xdr:col>
      <xdr:colOff>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57150</xdr:colOff>
      <xdr:row>10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38900" y="647700"/>
          <a:ext cx="39719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ID1700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  <xdr:twoCellAnchor>
    <xdr:from>
      <xdr:col>2</xdr:col>
      <xdr:colOff>304800</xdr:colOff>
      <xdr:row>12</xdr:row>
      <xdr:rowOff>38100</xdr:rowOff>
    </xdr:from>
    <xdr:to>
      <xdr:col>13</xdr:col>
      <xdr:colOff>76200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0" y="2324100"/>
          <a:ext cx="6467475" cy="531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Fuel Injector Scale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fuel injector scaling will be calculated based on the ethanol content of the fuel.  For pure gasoline, enter 0%, for pure ethanol, enter 100%, etc.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Support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If you have any questions, or problems, please  visit help.injectordynamics.com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32</xdr:col>
      <xdr:colOff>466725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67600" y="666750"/>
          <a:ext cx="22860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77000" y="647700"/>
          <a:ext cx="41052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ID1700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9.140625" style="1" customWidth="1"/>
    <col min="6" max="6" width="9.7109375" style="1" bestFit="1" customWidth="1"/>
    <col min="7" max="9" width="9.140625" style="1" customWidth="1"/>
    <col min="10" max="10" width="8.00390625" style="1" bestFit="1" customWidth="1"/>
    <col min="11" max="11" width="9.57421875" style="1" bestFit="1" customWidth="1"/>
    <col min="12" max="16384" width="9.140625" style="1" customWidth="1"/>
  </cols>
  <sheetData>
    <row r="1" ht="15">
      <c r="A1" s="1" t="s">
        <v>38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spans="1:22" ht="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15">
      <c r="A13" s="12"/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5">
      <c r="A14" s="12"/>
      <c r="B14" s="14"/>
      <c r="C14" s="15"/>
      <c r="D14" s="13"/>
      <c r="E14" s="12"/>
      <c r="F14" s="16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5">
      <c r="A17" s="12"/>
      <c r="B17" s="13"/>
      <c r="C17" s="13"/>
      <c r="D17" s="13"/>
      <c r="E17" s="12"/>
      <c r="F17" s="12"/>
      <c r="G17" s="13"/>
      <c r="H17" s="16"/>
      <c r="I17" s="12"/>
      <c r="J17" s="12"/>
      <c r="K17" s="12"/>
      <c r="L17" s="13"/>
      <c r="M17" s="16"/>
      <c r="N17" s="12"/>
      <c r="O17" s="12"/>
      <c r="P17" s="12"/>
      <c r="Q17" s="13"/>
      <c r="R17" s="12"/>
      <c r="S17" s="12"/>
      <c r="T17" s="12"/>
      <c r="U17" s="12"/>
      <c r="V17" s="12"/>
    </row>
    <row r="18" spans="1:22" ht="15">
      <c r="A18" s="12"/>
      <c r="B18" s="13"/>
      <c r="C18" s="13"/>
      <c r="D18" s="13"/>
      <c r="E18" s="4"/>
      <c r="F18" s="12"/>
      <c r="G18" s="17"/>
      <c r="H18" s="3"/>
      <c r="I18" s="12"/>
      <c r="J18" s="12"/>
      <c r="K18" s="12"/>
      <c r="L18" s="17"/>
      <c r="M18" s="3"/>
      <c r="N18" s="12"/>
      <c r="O18" s="12"/>
      <c r="P18" s="12"/>
      <c r="Q18" s="2"/>
      <c r="R18" s="17"/>
      <c r="S18" s="12"/>
      <c r="T18" s="12"/>
      <c r="U18" s="12"/>
      <c r="V18" s="12"/>
    </row>
    <row r="19" spans="1:22" ht="15">
      <c r="A19" s="12"/>
      <c r="B19" s="13"/>
      <c r="C19" s="13"/>
      <c r="D19" s="13"/>
      <c r="E19" s="4"/>
      <c r="F19" s="12"/>
      <c r="G19" s="17"/>
      <c r="H19" s="3"/>
      <c r="I19" s="12"/>
      <c r="J19" s="12"/>
      <c r="K19" s="12"/>
      <c r="L19" s="17"/>
      <c r="M19" s="3"/>
      <c r="N19" s="12"/>
      <c r="O19" s="12"/>
      <c r="P19" s="12"/>
      <c r="Q19" s="2"/>
      <c r="R19" s="17"/>
      <c r="S19" s="12"/>
      <c r="T19" s="12"/>
      <c r="U19" s="12"/>
      <c r="V19" s="12"/>
    </row>
    <row r="20" spans="1:22" ht="15">
      <c r="A20" s="12"/>
      <c r="B20" s="13"/>
      <c r="C20" s="13"/>
      <c r="D20" s="13"/>
      <c r="E20" s="4"/>
      <c r="F20" s="12"/>
      <c r="G20" s="17"/>
      <c r="H20" s="3"/>
      <c r="I20" s="12"/>
      <c r="J20" s="12"/>
      <c r="K20" s="12"/>
      <c r="L20" s="17"/>
      <c r="M20" s="3"/>
      <c r="N20" s="12"/>
      <c r="O20" s="12"/>
      <c r="P20" s="12"/>
      <c r="Q20" s="2"/>
      <c r="R20" s="17"/>
      <c r="S20" s="12"/>
      <c r="T20" s="12"/>
      <c r="U20" s="12"/>
      <c r="V20" s="12"/>
    </row>
    <row r="21" spans="1:22" ht="15">
      <c r="A21" s="12"/>
      <c r="B21" s="13"/>
      <c r="C21" s="13"/>
      <c r="D21" s="13"/>
      <c r="E21" s="4"/>
      <c r="F21" s="12"/>
      <c r="G21" s="17"/>
      <c r="H21" s="3"/>
      <c r="I21" s="12"/>
      <c r="J21" s="12"/>
      <c r="K21" s="12"/>
      <c r="L21" s="17"/>
      <c r="M21" s="3"/>
      <c r="N21" s="12"/>
      <c r="O21" s="12"/>
      <c r="P21" s="12"/>
      <c r="Q21" s="2"/>
      <c r="R21" s="17"/>
      <c r="S21" s="12"/>
      <c r="T21" s="12"/>
      <c r="U21" s="12"/>
      <c r="V21" s="12"/>
    </row>
    <row r="22" spans="1:22" ht="15">
      <c r="A22" s="12"/>
      <c r="B22" s="13"/>
      <c r="C22" s="12"/>
      <c r="D22" s="12"/>
      <c r="E22" s="18"/>
      <c r="F22" s="12"/>
      <c r="G22" s="17"/>
      <c r="H22" s="3"/>
      <c r="I22" s="12"/>
      <c r="J22" s="12"/>
      <c r="K22" s="12"/>
      <c r="L22" s="17"/>
      <c r="M22" s="3"/>
      <c r="N22" s="12"/>
      <c r="O22" s="12"/>
      <c r="P22" s="12"/>
      <c r="Q22" s="2"/>
      <c r="R22" s="17"/>
      <c r="S22" s="12"/>
      <c r="T22" s="12"/>
      <c r="U22" s="12"/>
      <c r="V22" s="12"/>
    </row>
    <row r="23" spans="1:22" ht="15">
      <c r="A23" s="12"/>
      <c r="B23" s="12"/>
      <c r="C23" s="12"/>
      <c r="D23" s="12"/>
      <c r="E23" s="12"/>
      <c r="F23" s="12"/>
      <c r="G23" s="17"/>
      <c r="H23" s="3"/>
      <c r="I23" s="12"/>
      <c r="J23" s="12"/>
      <c r="K23" s="12"/>
      <c r="L23" s="17"/>
      <c r="M23" s="3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5">
      <c r="A24" s="12"/>
      <c r="B24" s="12"/>
      <c r="C24" s="12"/>
      <c r="D24" s="12"/>
      <c r="E24" s="12"/>
      <c r="F24" s="12"/>
      <c r="G24" s="2"/>
      <c r="H24" s="3"/>
      <c r="I24" s="12"/>
      <c r="J24" s="12"/>
      <c r="K24" s="12"/>
      <c r="L24" s="2"/>
      <c r="M24" s="3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15">
      <c r="A26" s="12"/>
      <c r="B26" s="13"/>
      <c r="C26" s="16"/>
      <c r="D26" s="12"/>
      <c r="E26" s="12"/>
      <c r="F26" s="12"/>
      <c r="G26" s="13"/>
      <c r="H26" s="16"/>
      <c r="I26" s="12"/>
      <c r="J26" s="12"/>
      <c r="K26" s="12"/>
      <c r="L26" s="13"/>
      <c r="M26" s="16"/>
      <c r="N26" s="12"/>
      <c r="O26" s="12"/>
      <c r="P26" s="12"/>
      <c r="Q26" s="13"/>
      <c r="R26" s="12"/>
      <c r="S26" s="12"/>
      <c r="T26" s="12"/>
      <c r="U26" s="12"/>
      <c r="V26" s="12"/>
    </row>
    <row r="27" spans="1:22" ht="15">
      <c r="A27" s="12"/>
      <c r="B27" s="18"/>
      <c r="C27" s="4"/>
      <c r="D27" s="12"/>
      <c r="E27" s="12"/>
      <c r="F27" s="12"/>
      <c r="G27" s="17"/>
      <c r="H27" s="3"/>
      <c r="I27" s="12"/>
      <c r="J27" s="12"/>
      <c r="K27" s="12"/>
      <c r="L27" s="17"/>
      <c r="M27" s="3"/>
      <c r="N27" s="12"/>
      <c r="O27" s="12"/>
      <c r="P27" s="12"/>
      <c r="Q27" s="2"/>
      <c r="R27" s="17"/>
      <c r="S27" s="12"/>
      <c r="T27" s="12"/>
      <c r="U27" s="12"/>
      <c r="V27" s="12"/>
    </row>
    <row r="28" spans="1:22" ht="15">
      <c r="A28" s="12"/>
      <c r="B28" s="18"/>
      <c r="C28" s="4"/>
      <c r="D28" s="12"/>
      <c r="E28" s="12"/>
      <c r="F28" s="12"/>
      <c r="G28" s="17"/>
      <c r="H28" s="3"/>
      <c r="I28" s="12"/>
      <c r="J28" s="12"/>
      <c r="K28" s="12"/>
      <c r="L28" s="17"/>
      <c r="M28" s="3"/>
      <c r="N28" s="12"/>
      <c r="O28" s="12"/>
      <c r="P28" s="12"/>
      <c r="Q28" s="2"/>
      <c r="R28" s="17"/>
      <c r="S28" s="12"/>
      <c r="T28" s="12"/>
      <c r="U28" s="12"/>
      <c r="V28" s="12"/>
    </row>
    <row r="29" spans="1:22" ht="15">
      <c r="A29" s="12"/>
      <c r="B29" s="18"/>
      <c r="C29" s="4"/>
      <c r="D29" s="12"/>
      <c r="E29" s="12"/>
      <c r="F29" s="12"/>
      <c r="G29" s="17"/>
      <c r="H29" s="3"/>
      <c r="I29" s="12"/>
      <c r="J29" s="12"/>
      <c r="K29" s="12"/>
      <c r="L29" s="17"/>
      <c r="M29" s="3"/>
      <c r="N29" s="12"/>
      <c r="O29" s="12"/>
      <c r="P29" s="12"/>
      <c r="Q29" s="2"/>
      <c r="R29" s="17"/>
      <c r="S29" s="12"/>
      <c r="T29" s="12"/>
      <c r="U29" s="12"/>
      <c r="V29" s="12"/>
    </row>
    <row r="30" spans="1:22" ht="15">
      <c r="A30" s="12"/>
      <c r="B30" s="18"/>
      <c r="C30" s="4"/>
      <c r="D30" s="12"/>
      <c r="E30" s="12"/>
      <c r="F30" s="12"/>
      <c r="G30" s="17"/>
      <c r="H30" s="3"/>
      <c r="I30" s="12"/>
      <c r="J30" s="12"/>
      <c r="K30" s="12"/>
      <c r="L30" s="17"/>
      <c r="M30" s="3"/>
      <c r="N30" s="12"/>
      <c r="O30" s="12"/>
      <c r="P30" s="12"/>
      <c r="Q30" s="2"/>
      <c r="R30" s="17"/>
      <c r="S30" s="12"/>
      <c r="T30" s="12"/>
      <c r="U30" s="12"/>
      <c r="V30" s="12"/>
    </row>
    <row r="31" spans="1:22" ht="15">
      <c r="A31" s="12"/>
      <c r="B31" s="18"/>
      <c r="C31" s="4"/>
      <c r="D31" s="12"/>
      <c r="E31" s="12"/>
      <c r="F31" s="12"/>
      <c r="G31" s="17"/>
      <c r="H31" s="3"/>
      <c r="I31" s="12"/>
      <c r="J31" s="12"/>
      <c r="K31" s="12"/>
      <c r="L31" s="17"/>
      <c r="M31" s="3"/>
      <c r="N31" s="12"/>
      <c r="O31" s="12"/>
      <c r="P31" s="12"/>
      <c r="Q31" s="2"/>
      <c r="R31" s="17"/>
      <c r="S31" s="12"/>
      <c r="T31" s="12"/>
      <c r="U31" s="12"/>
      <c r="V31" s="12"/>
    </row>
    <row r="32" spans="1:22" ht="15">
      <c r="A32" s="12"/>
      <c r="B32" s="18"/>
      <c r="C32" s="4"/>
      <c r="D32" s="12"/>
      <c r="E32" s="12"/>
      <c r="F32" s="12"/>
      <c r="G32" s="17"/>
      <c r="H32" s="3"/>
      <c r="I32" s="12"/>
      <c r="J32" s="12"/>
      <c r="K32" s="12"/>
      <c r="L32" s="17"/>
      <c r="M32" s="3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5">
      <c r="A33" s="12"/>
      <c r="B33" s="18"/>
      <c r="C33" s="4"/>
      <c r="D33" s="12"/>
      <c r="E33" s="12"/>
      <c r="F33" s="12"/>
      <c r="G33" s="12"/>
      <c r="H33" s="12"/>
      <c r="I33" s="12"/>
      <c r="J33" s="12"/>
      <c r="K33" s="12"/>
      <c r="L33" s="17"/>
      <c r="M33" s="3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5">
      <c r="A34" s="12"/>
      <c r="B34" s="18"/>
      <c r="C34" s="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5">
      <c r="A35" s="12"/>
      <c r="B35" s="18"/>
      <c r="C35" s="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5">
      <c r="A36" s="12"/>
      <c r="B36" s="18"/>
      <c r="C36" s="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9"/>
      <c r="O36" s="12"/>
      <c r="P36" s="12"/>
      <c r="Q36" s="12"/>
      <c r="R36" s="12"/>
      <c r="S36" s="12"/>
      <c r="T36" s="12"/>
      <c r="U36" s="12"/>
      <c r="V36" s="12"/>
    </row>
    <row r="37" spans="1:22" ht="15">
      <c r="A37" s="12"/>
      <c r="B37" s="18"/>
      <c r="C37" s="4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5">
      <c r="A38" s="12"/>
      <c r="B38" s="18"/>
      <c r="C38" s="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</sheetData>
  <sheetProtection password="C7F7" sheet="1"/>
  <conditionalFormatting sqref="E22">
    <cfRule type="containsText" priority="1" dxfId="4" operator="containsText" stopIfTrue="1" text="ERROR">
      <formula>NOT(ISERROR(SEARCH("ERROR",E22)))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3:T38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4" width="9.140625" style="31" customWidth="1"/>
    <col min="5" max="6" width="9.7109375" style="31" bestFit="1" customWidth="1"/>
    <col min="7" max="9" width="9.140625" style="31" customWidth="1"/>
    <col min="10" max="10" width="8.00390625" style="31" bestFit="1" customWidth="1"/>
    <col min="11" max="11" width="9.57421875" style="31" bestFit="1" customWidth="1"/>
    <col min="12" max="14" width="9.140625" style="31" customWidth="1"/>
    <col min="15" max="15" width="10.7109375" style="31" customWidth="1"/>
    <col min="16" max="16384" width="9.140625" style="3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3" spans="3:15" ht="15">
      <c r="C13" s="32" t="s">
        <v>23</v>
      </c>
      <c r="D13" s="33"/>
      <c r="F13" s="32" t="s">
        <v>1</v>
      </c>
      <c r="G13" s="33"/>
      <c r="J13" s="171">
        <f>IF(FPX&lt;'Background Math'!D8,"** FUEL PRESSURE MUST BE BETWEEN 29 AND 94 PSID **",IF(FPX&gt;'Background Math'!I8,"** FUEL PRESSURE MUST BE BETWEEN 29 AND 94 PSID **",""))</f>
      </c>
      <c r="K13" s="171"/>
      <c r="L13" s="171"/>
      <c r="M13" s="171"/>
      <c r="N13" s="171"/>
      <c r="O13" s="171"/>
    </row>
    <row r="14" spans="3:15" ht="15">
      <c r="C14" s="108">
        <v>10</v>
      </c>
      <c r="D14" s="33"/>
      <c r="E14" s="34"/>
      <c r="F14" s="30">
        <v>43.5</v>
      </c>
      <c r="G14" s="35" t="s">
        <v>42</v>
      </c>
      <c r="J14" s="171">
        <f>IF(ETH&lt;0,"** ETHANOL CONTENT MUST BE BETWEEN 0 AND 100 **",IF(ETH&gt;100,"** ETHANOL CONTENT MUST BE BETWEEN 0 AND 100 **",""))</f>
      </c>
      <c r="K14" s="171"/>
      <c r="L14" s="171"/>
      <c r="M14" s="171"/>
      <c r="N14" s="171"/>
      <c r="O14" s="171"/>
    </row>
    <row r="15" spans="2:20" ht="15">
      <c r="B15" s="33"/>
      <c r="C15" s="33"/>
      <c r="D15" s="33"/>
      <c r="E15" s="33"/>
      <c r="F15" s="33"/>
      <c r="G15" s="33"/>
      <c r="H15" s="33"/>
      <c r="I15" s="33"/>
      <c r="J15" s="171">
        <f>IF('Background Math'!L23="N/A","** DOES NOT OPEN AT SPECIFIED VOLTAGE &amp; PRESSURE **","")</f>
      </c>
      <c r="K15" s="171"/>
      <c r="L15" s="171"/>
      <c r="M15" s="171"/>
      <c r="N15" s="171"/>
      <c r="O15" s="171"/>
      <c r="P15" s="34"/>
      <c r="Q15" s="34"/>
      <c r="R15" s="34"/>
      <c r="S15" s="33"/>
      <c r="T15" s="33"/>
    </row>
    <row r="16" spans="3:20" ht="15">
      <c r="C16" s="87" t="s">
        <v>6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5">
      <c r="B17" s="85" t="s">
        <v>4</v>
      </c>
      <c r="C17" s="156">
        <f>'Background Math'!C10</f>
        <v>0.3</v>
      </c>
      <c r="D17" s="156">
        <f>'Background Math'!C11</f>
        <v>0.417</v>
      </c>
      <c r="E17" s="156">
        <f>'Background Math'!C12</f>
        <v>0.579</v>
      </c>
      <c r="F17" s="156">
        <f>'Background Math'!C13</f>
        <v>0.805</v>
      </c>
      <c r="G17" s="156">
        <f>'Background Math'!C14</f>
        <v>1.118</v>
      </c>
      <c r="H17" s="156">
        <f>'Background Math'!C15</f>
        <v>1.554</v>
      </c>
      <c r="I17" s="156">
        <f>'Background Math'!C16</f>
        <v>2.159</v>
      </c>
      <c r="J17" s="156">
        <f>'Background Math'!C17</f>
        <v>3</v>
      </c>
      <c r="K17" s="42"/>
      <c r="L17" s="41"/>
      <c r="M17" s="72"/>
      <c r="N17" s="42"/>
      <c r="O17" s="42"/>
      <c r="P17" s="42"/>
      <c r="Q17" s="41"/>
      <c r="R17" s="42"/>
      <c r="S17" s="42"/>
      <c r="T17" s="42"/>
    </row>
    <row r="18" spans="2:20" ht="15">
      <c r="B18" s="85" t="s">
        <v>5</v>
      </c>
      <c r="C18" s="157">
        <f>'Background Math'!N10</f>
        <v>25.8</v>
      </c>
      <c r="D18" s="157">
        <f>'Background Math'!N11</f>
        <v>-0.8</v>
      </c>
      <c r="E18" s="157">
        <f>'Background Math'!N12</f>
        <v>-6.3</v>
      </c>
      <c r="F18" s="157">
        <f>'Background Math'!N13</f>
        <v>2.3</v>
      </c>
      <c r="G18" s="157">
        <f>'Background Math'!N14</f>
        <v>-1.6</v>
      </c>
      <c r="H18" s="157">
        <f>'Background Math'!N15</f>
        <v>-1.6</v>
      </c>
      <c r="I18" s="157">
        <f>'Background Math'!N16</f>
        <v>-0.8</v>
      </c>
      <c r="J18" s="157">
        <f>'Background Math'!N17</f>
        <v>0</v>
      </c>
      <c r="K18" s="42"/>
      <c r="R18" s="74"/>
      <c r="S18" s="42"/>
      <c r="T18" s="42"/>
    </row>
    <row r="19" spans="3:20" ht="15">
      <c r="C19" s="158"/>
      <c r="D19" s="159"/>
      <c r="E19" s="73"/>
      <c r="F19" s="160"/>
      <c r="G19" s="161"/>
      <c r="H19" s="162"/>
      <c r="I19" s="160"/>
      <c r="J19" s="160"/>
      <c r="K19" s="42"/>
      <c r="L19" s="74"/>
      <c r="M19" s="37"/>
      <c r="O19" s="42"/>
      <c r="P19" s="42"/>
      <c r="Q19" s="36"/>
      <c r="R19" s="74"/>
      <c r="S19" s="42"/>
      <c r="T19" s="42"/>
    </row>
    <row r="20" spans="3:20" ht="15">
      <c r="C20" s="163" t="s">
        <v>7</v>
      </c>
      <c r="D20" s="159"/>
      <c r="E20" s="73"/>
      <c r="F20" s="160"/>
      <c r="G20" s="161"/>
      <c r="H20" s="162"/>
      <c r="I20" s="160"/>
      <c r="J20" s="160"/>
      <c r="K20" s="42"/>
      <c r="L20" s="74"/>
      <c r="M20" s="37"/>
      <c r="N20" s="42"/>
      <c r="O20" s="42"/>
      <c r="P20" s="42"/>
      <c r="Q20" s="36"/>
      <c r="R20" s="74"/>
      <c r="S20" s="42"/>
      <c r="T20" s="42"/>
    </row>
    <row r="21" spans="2:20" ht="15">
      <c r="B21" s="86" t="s">
        <v>16</v>
      </c>
      <c r="C21" s="164">
        <v>8</v>
      </c>
      <c r="D21" s="88">
        <v>10</v>
      </c>
      <c r="E21" s="88">
        <v>12</v>
      </c>
      <c r="F21" s="164">
        <v>14</v>
      </c>
      <c r="G21" s="88">
        <v>16</v>
      </c>
      <c r="H21" s="162"/>
      <c r="I21" s="160"/>
      <c r="J21" s="160"/>
      <c r="K21" s="42"/>
      <c r="L21" s="74"/>
      <c r="M21" s="37"/>
      <c r="N21" s="42"/>
      <c r="O21" s="42"/>
      <c r="P21" s="42"/>
      <c r="Q21" s="36"/>
      <c r="R21" s="74"/>
      <c r="S21" s="42"/>
      <c r="T21" s="42"/>
    </row>
    <row r="22" spans="2:20" ht="15">
      <c r="B22" s="86" t="s">
        <v>8</v>
      </c>
      <c r="C22" s="164">
        <f>'Background Math'!L23</f>
        <v>2.7440000000000007</v>
      </c>
      <c r="D22" s="164">
        <f>'Background Math'!M23</f>
        <v>1.739</v>
      </c>
      <c r="E22" s="164">
        <f>'Background Math'!N23</f>
        <v>1.261</v>
      </c>
      <c r="F22" s="164">
        <f>'Background Math'!O23</f>
        <v>0.973</v>
      </c>
      <c r="G22" s="164">
        <f>'Background Math'!P23</f>
        <v>0.801</v>
      </c>
      <c r="H22" s="162"/>
      <c r="I22" s="160"/>
      <c r="J22" s="160"/>
      <c r="K22" s="42"/>
      <c r="L22" s="74"/>
      <c r="M22" s="37"/>
      <c r="N22" s="42"/>
      <c r="O22" s="42"/>
      <c r="P22" s="42"/>
      <c r="Q22" s="36"/>
      <c r="R22" s="74"/>
      <c r="S22" s="42"/>
      <c r="T22" s="42"/>
    </row>
    <row r="23" spans="3:20" ht="15">
      <c r="C23" s="158"/>
      <c r="D23" s="159"/>
      <c r="E23" s="75"/>
      <c r="F23" s="160"/>
      <c r="G23" s="161"/>
      <c r="H23" s="162"/>
      <c r="I23" s="160"/>
      <c r="J23" s="160"/>
      <c r="K23" s="42"/>
      <c r="L23" s="74"/>
      <c r="M23" s="37"/>
      <c r="N23" s="42"/>
      <c r="O23" s="42"/>
      <c r="P23" s="42"/>
      <c r="Q23" s="42"/>
      <c r="R23" s="42"/>
      <c r="S23" s="42"/>
      <c r="T23" s="42"/>
    </row>
    <row r="24" spans="2:20" ht="15">
      <c r="B24" s="33"/>
      <c r="C24" s="163" t="s">
        <v>9</v>
      </c>
      <c r="D24" s="160"/>
      <c r="E24" s="160"/>
      <c r="F24" s="160"/>
      <c r="G24" s="165"/>
      <c r="H24" s="162"/>
      <c r="I24" s="160"/>
      <c r="J24" s="160"/>
      <c r="K24" s="42"/>
      <c r="L24" s="36"/>
      <c r="M24" s="37"/>
      <c r="N24" s="42"/>
      <c r="O24" s="42"/>
      <c r="P24" s="42"/>
      <c r="Q24" s="42"/>
      <c r="R24" s="42"/>
      <c r="S24" s="42"/>
      <c r="T24" s="42"/>
    </row>
    <row r="25" spans="2:20" ht="15">
      <c r="B25" s="77" t="s">
        <v>10</v>
      </c>
      <c r="C25" s="166">
        <f>IF(ETH&gt;100,"ERROR",IF(ETH&lt;0,"ERROR",'Background Math'!L33))</f>
        <v>1704.2368380147934</v>
      </c>
      <c r="D25" s="160"/>
      <c r="E25" s="160"/>
      <c r="F25" s="160"/>
      <c r="G25" s="160"/>
      <c r="H25" s="160"/>
      <c r="I25" s="160"/>
      <c r="J25" s="160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2:20" ht="15">
      <c r="B26" s="41"/>
      <c r="C26" s="167"/>
      <c r="D26" s="160"/>
      <c r="E26" s="160"/>
      <c r="F26" s="160"/>
      <c r="G26" s="159"/>
      <c r="H26" s="167"/>
      <c r="I26" s="160"/>
      <c r="J26" s="160"/>
      <c r="K26" s="42"/>
      <c r="L26" s="41"/>
      <c r="M26" s="72"/>
      <c r="N26" s="42"/>
      <c r="O26" s="42"/>
      <c r="P26" s="42"/>
      <c r="Q26" s="41"/>
      <c r="R26" s="42"/>
      <c r="S26" s="42"/>
      <c r="T26" s="42"/>
    </row>
    <row r="27" spans="2:20" ht="15">
      <c r="B27" s="76"/>
      <c r="C27" s="163" t="s">
        <v>11</v>
      </c>
      <c r="D27" s="160"/>
      <c r="E27" s="160"/>
      <c r="F27" s="160"/>
      <c r="G27" s="161"/>
      <c r="H27" s="162"/>
      <c r="I27" s="160"/>
      <c r="J27" s="160"/>
      <c r="K27" s="42"/>
      <c r="L27" s="74"/>
      <c r="M27" s="37"/>
      <c r="N27" s="42"/>
      <c r="O27" s="42"/>
      <c r="P27" s="42"/>
      <c r="Q27" s="36"/>
      <c r="R27" s="74"/>
      <c r="S27" s="42"/>
      <c r="T27" s="42"/>
    </row>
    <row r="28" spans="2:20" ht="15">
      <c r="B28" s="89" t="s">
        <v>13</v>
      </c>
      <c r="C28" s="168">
        <f>C17</f>
        <v>0.3</v>
      </c>
      <c r="D28" s="160"/>
      <c r="E28" s="160"/>
      <c r="F28" s="160"/>
      <c r="G28" s="161"/>
      <c r="H28" s="162"/>
      <c r="I28" s="160"/>
      <c r="J28" s="160"/>
      <c r="K28" s="42"/>
      <c r="L28" s="74"/>
      <c r="M28" s="37"/>
      <c r="N28" s="42"/>
      <c r="O28" s="42"/>
      <c r="P28" s="42"/>
      <c r="Q28" s="36"/>
      <c r="R28" s="74"/>
      <c r="S28" s="42"/>
      <c r="T28" s="42"/>
    </row>
    <row r="29" spans="2:20" ht="15">
      <c r="B29" s="76"/>
      <c r="C29" s="73"/>
      <c r="D29" s="160"/>
      <c r="E29" s="160"/>
      <c r="F29" s="160"/>
      <c r="G29" s="161"/>
      <c r="H29" s="162"/>
      <c r="I29" s="160"/>
      <c r="J29" s="160"/>
      <c r="K29" s="42"/>
      <c r="L29" s="74"/>
      <c r="M29" s="37"/>
      <c r="N29" s="42"/>
      <c r="O29" s="42"/>
      <c r="P29" s="42"/>
      <c r="Q29" s="36"/>
      <c r="R29" s="74"/>
      <c r="S29" s="42"/>
      <c r="T29" s="42"/>
    </row>
    <row r="30" spans="2:20" ht="15">
      <c r="B30" s="76"/>
      <c r="C30" s="163" t="s">
        <v>12</v>
      </c>
      <c r="D30" s="160"/>
      <c r="E30" s="160"/>
      <c r="F30" s="160"/>
      <c r="G30" s="161"/>
      <c r="H30" s="162"/>
      <c r="I30" s="160"/>
      <c r="J30" s="160"/>
      <c r="K30" s="42"/>
      <c r="L30" s="74"/>
      <c r="M30" s="37"/>
      <c r="N30" s="42"/>
      <c r="O30" s="42"/>
      <c r="P30" s="42"/>
      <c r="Q30" s="36"/>
      <c r="R30" s="74"/>
      <c r="S30" s="42"/>
      <c r="T30" s="42"/>
    </row>
    <row r="31" spans="2:20" ht="15">
      <c r="B31" s="89" t="s">
        <v>13</v>
      </c>
      <c r="C31" s="168">
        <f>J17</f>
        <v>3</v>
      </c>
      <c r="D31" s="160"/>
      <c r="E31" s="160"/>
      <c r="F31" s="160"/>
      <c r="G31" s="161"/>
      <c r="H31" s="162"/>
      <c r="I31" s="160"/>
      <c r="J31" s="160"/>
      <c r="K31" s="42"/>
      <c r="L31" s="74"/>
      <c r="M31" s="37"/>
      <c r="N31" s="42"/>
      <c r="O31" s="42"/>
      <c r="P31" s="42"/>
      <c r="Q31" s="36"/>
      <c r="R31" s="74"/>
      <c r="S31" s="42"/>
      <c r="T31" s="42"/>
    </row>
    <row r="32" spans="2:20" ht="15">
      <c r="B32" s="76"/>
      <c r="C32" s="73"/>
      <c r="D32" s="160"/>
      <c r="E32" s="160"/>
      <c r="F32" s="160"/>
      <c r="G32" s="161"/>
      <c r="H32" s="162"/>
      <c r="I32" s="160"/>
      <c r="J32" s="160"/>
      <c r="K32" s="42"/>
      <c r="L32" s="74"/>
      <c r="M32" s="37"/>
      <c r="N32" s="42"/>
      <c r="O32" s="42"/>
      <c r="P32" s="42"/>
      <c r="Q32" s="42"/>
      <c r="R32" s="42"/>
      <c r="S32" s="42"/>
      <c r="T32" s="42"/>
    </row>
    <row r="33" spans="2:20" ht="15">
      <c r="B33" s="76"/>
      <c r="C33" s="163" t="s">
        <v>14</v>
      </c>
      <c r="D33" s="160"/>
      <c r="E33" s="160"/>
      <c r="F33" s="160"/>
      <c r="G33" s="160"/>
      <c r="H33" s="160"/>
      <c r="I33" s="160"/>
      <c r="J33" s="160"/>
      <c r="K33" s="42"/>
      <c r="L33" s="74"/>
      <c r="M33" s="37"/>
      <c r="N33" s="42"/>
      <c r="O33" s="42"/>
      <c r="P33" s="42"/>
      <c r="Q33" s="42"/>
      <c r="R33" s="42"/>
      <c r="S33" s="42"/>
      <c r="T33" s="42"/>
    </row>
    <row r="34" spans="2:20" ht="15">
      <c r="B34" s="89" t="s">
        <v>15</v>
      </c>
      <c r="C34" s="169">
        <v>10000</v>
      </c>
      <c r="D34" s="160"/>
      <c r="E34" s="160"/>
      <c r="F34" s="160"/>
      <c r="G34" s="160"/>
      <c r="H34" s="160"/>
      <c r="I34" s="160"/>
      <c r="J34" s="160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2:20" ht="15">
      <c r="B35" s="76"/>
      <c r="C35" s="73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2:20" ht="15">
      <c r="B36" s="76"/>
      <c r="C36" s="73"/>
      <c r="D36" s="42"/>
      <c r="E36" s="42"/>
      <c r="F36" s="42"/>
      <c r="G36" s="42"/>
      <c r="H36" s="42"/>
      <c r="I36" s="42"/>
      <c r="J36" s="42"/>
      <c r="K36" s="42"/>
      <c r="L36" s="42"/>
      <c r="M36" s="77"/>
      <c r="N36" s="42"/>
      <c r="O36" s="42"/>
      <c r="P36" s="42"/>
      <c r="Q36" s="42"/>
      <c r="R36" s="42"/>
      <c r="S36" s="42"/>
      <c r="T36" s="42"/>
    </row>
    <row r="37" spans="2:20" ht="15">
      <c r="B37" s="76"/>
      <c r="C37" s="73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2:20" ht="15">
      <c r="B38" s="76"/>
      <c r="C38" s="73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</row>
  </sheetData>
  <sheetProtection password="C7F7" sheet="1"/>
  <mergeCells count="3">
    <mergeCell ref="J14:O14"/>
    <mergeCell ref="J13:O13"/>
    <mergeCell ref="J15:O15"/>
  </mergeCells>
  <conditionalFormatting sqref="J14:O14">
    <cfRule type="containsText" priority="6" dxfId="0" operator="containsText" stopIfTrue="1" text="ETHANOL">
      <formula>NOT(ISERROR(SEARCH("ETHANOL",J14)))</formula>
    </cfRule>
  </conditionalFormatting>
  <conditionalFormatting sqref="J13:O13">
    <cfRule type="containsText" priority="4" dxfId="0" operator="containsText" stopIfTrue="1" text="FUEL">
      <formula>NOT(ISERROR(SEARCH("FUEL",J13)))</formula>
    </cfRule>
  </conditionalFormatting>
  <conditionalFormatting sqref="J15:O15">
    <cfRule type="containsText" priority="2" dxfId="0" operator="containsText" stopIfTrue="1" text="NOT">
      <formula>NOT(ISERROR(SEARCH("NOT",J15)))</formula>
    </cfRule>
  </conditionalFormatting>
  <conditionalFormatting sqref="C22 D22">
    <cfRule type="containsText" priority="1" dxfId="0" operator="containsText" stopIfTrue="1" text="N/A">
      <formula>NOT(ISERROR(SEARCH("N/A",C22)))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137" customWidth="1"/>
    <col min="2" max="16384" width="9.140625" style="137" customWidth="1"/>
  </cols>
  <sheetData>
    <row r="1" ht="12.75">
      <c r="A1" s="136" t="s">
        <v>38</v>
      </c>
    </row>
    <row r="2" spans="2:9" ht="12.75">
      <c r="B2" s="138">
        <v>42147</v>
      </c>
      <c r="C2" s="139" t="s">
        <v>41</v>
      </c>
      <c r="D2" s="140"/>
      <c r="E2" s="140"/>
      <c r="F2" s="140"/>
      <c r="G2" s="140"/>
      <c r="H2" s="140"/>
      <c r="I2" s="141"/>
    </row>
    <row r="3" spans="3:9" ht="12.75">
      <c r="C3" s="142"/>
      <c r="D3" s="143"/>
      <c r="E3" s="143"/>
      <c r="F3" s="143"/>
      <c r="G3" s="143"/>
      <c r="H3" s="143"/>
      <c r="I3" s="144"/>
    </row>
    <row r="4" spans="3:9" ht="12.75">
      <c r="C4" s="145"/>
      <c r="D4" s="146"/>
      <c r="E4" s="146"/>
      <c r="F4" s="146"/>
      <c r="G4" s="146"/>
      <c r="H4" s="146"/>
      <c r="I4" s="147"/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3:U50"/>
  <sheetViews>
    <sheetView zoomScalePageLayoutView="0" workbookViewId="0" topLeftCell="A1">
      <selection activeCell="T32" sqref="T32"/>
    </sheetView>
  </sheetViews>
  <sheetFormatPr defaultColWidth="9.140625" defaultRowHeight="12.75"/>
  <cols>
    <col min="1" max="9" width="9.140625" style="5" customWidth="1"/>
    <col min="10" max="10" width="12.00390625" style="5" bestFit="1" customWidth="1"/>
    <col min="11" max="11" width="9.140625" style="5" customWidth="1"/>
    <col min="12" max="12" width="10.28125" style="5" customWidth="1"/>
    <col min="13" max="16384" width="9.140625" style="5" customWidth="1"/>
  </cols>
  <sheetData>
    <row r="3" spans="2:15" ht="12.75">
      <c r="B3" s="21"/>
      <c r="C3" s="29"/>
      <c r="D3" s="20"/>
      <c r="E3" s="40" t="s">
        <v>37</v>
      </c>
      <c r="F3" s="38"/>
      <c r="G3" s="39"/>
      <c r="H3" s="39"/>
      <c r="I3" s="40" t="s">
        <v>3</v>
      </c>
      <c r="J3" s="20"/>
      <c r="K3" s="20"/>
      <c r="L3" s="20"/>
      <c r="M3" s="20"/>
      <c r="N3" s="20"/>
      <c r="O3" s="20"/>
    </row>
    <row r="4" spans="2:15" ht="12.75">
      <c r="B4" s="21"/>
      <c r="C4" s="21"/>
      <c r="D4" s="20"/>
      <c r="E4" s="28">
        <f>FPX</f>
        <v>43.5</v>
      </c>
      <c r="F4" s="20"/>
      <c r="G4" s="20"/>
      <c r="H4" s="20"/>
      <c r="I4" s="28">
        <f>IF(FPX=ROUND(D8,1),D8+0.001,IF(FPX=I8,I8-0.000001,IF(FPX=I8,I8-0.0001,FPX)))</f>
        <v>43.5</v>
      </c>
      <c r="J4" s="20"/>
      <c r="K4" s="20"/>
      <c r="L4" s="20"/>
      <c r="M4" s="20"/>
      <c r="N4" s="20"/>
      <c r="O4" s="20"/>
    </row>
    <row r="5" spans="2:15" ht="12.7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2:21" ht="12.75">
      <c r="B6" s="21"/>
      <c r="C6" s="21"/>
      <c r="D6" s="21"/>
      <c r="E6" s="21"/>
      <c r="F6" s="21"/>
      <c r="G6" s="21"/>
      <c r="H6" s="21"/>
      <c r="I6" s="20"/>
      <c r="J6" s="20"/>
      <c r="K6" s="21"/>
      <c r="L6" s="21"/>
      <c r="M6" s="21"/>
      <c r="N6" s="155"/>
      <c r="O6" s="21"/>
      <c r="P6" s="7"/>
      <c r="Q6" s="7"/>
      <c r="R6" s="7"/>
      <c r="S6" s="7"/>
      <c r="T6" s="7"/>
      <c r="U6" s="7"/>
    </row>
    <row r="7" spans="2:21" ht="14.25">
      <c r="B7" s="44"/>
      <c r="C7" s="22"/>
      <c r="D7" s="22"/>
      <c r="E7" s="22"/>
      <c r="F7" s="23"/>
      <c r="G7" s="21"/>
      <c r="H7" s="45"/>
      <c r="I7" s="46"/>
      <c r="J7" s="47"/>
      <c r="K7" s="20"/>
      <c r="L7" s="22"/>
      <c r="M7" s="23"/>
      <c r="N7" s="24"/>
      <c r="O7" s="24"/>
      <c r="P7" s="9"/>
      <c r="U7" s="9"/>
    </row>
    <row r="8" spans="2:21" ht="12.75">
      <c r="B8" s="22" t="s">
        <v>19</v>
      </c>
      <c r="C8" s="23"/>
      <c r="D8" s="55">
        <v>29</v>
      </c>
      <c r="E8" s="55">
        <v>43.51</v>
      </c>
      <c r="F8" s="56">
        <v>58.02</v>
      </c>
      <c r="G8" s="56">
        <v>72.52</v>
      </c>
      <c r="H8" s="56">
        <v>87.023</v>
      </c>
      <c r="I8" s="56">
        <v>94</v>
      </c>
      <c r="J8" s="49"/>
      <c r="K8" s="20"/>
      <c r="L8" s="43"/>
      <c r="M8" s="26"/>
      <c r="N8" s="24"/>
      <c r="O8" s="24"/>
      <c r="P8" s="9"/>
      <c r="U8" s="10"/>
    </row>
    <row r="9" spans="2:21" ht="13.5" thickBot="1">
      <c r="B9" s="22"/>
      <c r="C9" s="23"/>
      <c r="D9" s="56">
        <f aca="true" t="shared" si="0" ref="D9:I9">D8/14.50377</f>
        <v>1.9994801351648572</v>
      </c>
      <c r="E9" s="56">
        <f t="shared" si="0"/>
        <v>2.999909678655963</v>
      </c>
      <c r="F9" s="56">
        <f t="shared" si="0"/>
        <v>4.00033922214707</v>
      </c>
      <c r="G9" s="56">
        <f t="shared" si="0"/>
        <v>5.000079289729498</v>
      </c>
      <c r="H9" s="56">
        <f t="shared" si="0"/>
        <v>6.0000262000845295</v>
      </c>
      <c r="I9" s="56">
        <f t="shared" si="0"/>
        <v>6.481073541568848</v>
      </c>
      <c r="J9" s="49"/>
      <c r="K9" s="20"/>
      <c r="L9" s="57" t="s">
        <v>2</v>
      </c>
      <c r="M9" s="152" t="s">
        <v>39</v>
      </c>
      <c r="N9" s="78" t="s">
        <v>0</v>
      </c>
      <c r="O9" s="24"/>
      <c r="P9" s="9"/>
      <c r="U9" s="10"/>
    </row>
    <row r="10" spans="2:21" ht="12.75">
      <c r="B10" s="22"/>
      <c r="C10" s="57">
        <v>0.3</v>
      </c>
      <c r="D10" s="60">
        <v>10.1</v>
      </c>
      <c r="E10" s="61">
        <v>25.9</v>
      </c>
      <c r="F10" s="62">
        <v>25.5</v>
      </c>
      <c r="G10" s="62">
        <v>20.7</v>
      </c>
      <c r="H10" s="62">
        <v>20.6</v>
      </c>
      <c r="I10" s="63">
        <v>22.26631505</v>
      </c>
      <c r="J10" s="49"/>
      <c r="K10" s="82">
        <f>C10</f>
        <v>0.3</v>
      </c>
      <c r="L10" s="79">
        <f aca="true" ca="1" t="shared" si="1" ref="L10:L17">FORECAST(FP,OFFSET(D10:I10,0,MATCH(FP,FPIN,1)-1,1,2),OFFSET(FPIN,0,MATCH(FP,FPIN,1)-1,1,2))</f>
        <v>25.889110957960035</v>
      </c>
      <c r="M10" s="148">
        <f>ROUND((ROUND(((L10+100)/0.78125),0)*0.78125-100),1)</f>
        <v>25.8</v>
      </c>
      <c r="N10" s="148">
        <f aca="true" t="shared" si="2" ref="N10:N17">IF(FP&lt;$D$8,"ERROR",IF(FP&gt;$I$8,"ERROR",M10))</f>
        <v>25.8</v>
      </c>
      <c r="O10" s="24"/>
      <c r="P10" s="9"/>
      <c r="U10" s="10"/>
    </row>
    <row r="11" spans="2:21" ht="12.75">
      <c r="B11" s="22"/>
      <c r="C11" s="57">
        <v>0.417</v>
      </c>
      <c r="D11" s="64">
        <v>-12.3</v>
      </c>
      <c r="E11" s="43">
        <v>-0.8</v>
      </c>
      <c r="F11" s="65">
        <v>-1.6</v>
      </c>
      <c r="G11" s="65">
        <v>-4.5</v>
      </c>
      <c r="H11" s="65">
        <v>-3.3</v>
      </c>
      <c r="I11" s="66">
        <v>-1.327250746</v>
      </c>
      <c r="J11" s="21"/>
      <c r="K11" s="83">
        <f aca="true" t="shared" si="3" ref="K11:K17">C11</f>
        <v>0.417</v>
      </c>
      <c r="L11" s="80">
        <f ca="1" t="shared" si="1"/>
        <v>-0.8079255685733955</v>
      </c>
      <c r="M11" s="149">
        <f aca="true" t="shared" si="4" ref="M11:M17">ROUND((ROUND(((L11+100)/0.78125),0)*0.78125-100),1)</f>
        <v>-0.8</v>
      </c>
      <c r="N11" s="149">
        <f t="shared" si="2"/>
        <v>-0.8</v>
      </c>
      <c r="O11" s="24"/>
      <c r="P11" s="9"/>
      <c r="U11" s="10"/>
    </row>
    <row r="12" spans="2:21" ht="12.75">
      <c r="B12" s="22"/>
      <c r="C12" s="58">
        <v>0.579</v>
      </c>
      <c r="D12" s="67">
        <v>-13.7</v>
      </c>
      <c r="E12" s="65">
        <v>-6.4</v>
      </c>
      <c r="F12" s="65">
        <v>-5.8</v>
      </c>
      <c r="G12" s="65">
        <v>-6.1</v>
      </c>
      <c r="H12" s="65">
        <v>-3.9</v>
      </c>
      <c r="I12" s="66">
        <v>-2.007959474</v>
      </c>
      <c r="J12" s="21"/>
      <c r="K12" s="83">
        <f t="shared" si="3"/>
        <v>0.579</v>
      </c>
      <c r="L12" s="80">
        <f ca="1" t="shared" si="1"/>
        <v>-6.4050310130944155</v>
      </c>
      <c r="M12" s="149">
        <f t="shared" si="4"/>
        <v>-6.3</v>
      </c>
      <c r="N12" s="149">
        <f t="shared" si="2"/>
        <v>-6.3</v>
      </c>
      <c r="O12" s="24"/>
      <c r="P12" s="9"/>
      <c r="U12" s="10"/>
    </row>
    <row r="13" spans="2:21" ht="12.75">
      <c r="B13" s="21"/>
      <c r="C13" s="57">
        <v>0.805</v>
      </c>
      <c r="D13" s="64">
        <v>-2.9</v>
      </c>
      <c r="E13" s="43">
        <v>2.7</v>
      </c>
      <c r="F13" s="43">
        <v>1.3</v>
      </c>
      <c r="G13" s="68">
        <v>-1.1</v>
      </c>
      <c r="H13" s="68">
        <v>-0.7</v>
      </c>
      <c r="I13" s="66">
        <v>0.473445761</v>
      </c>
      <c r="J13" s="50"/>
      <c r="K13" s="83">
        <f t="shared" si="3"/>
        <v>0.805</v>
      </c>
      <c r="L13" s="80">
        <f ca="1" t="shared" si="1"/>
        <v>2.696140592694695</v>
      </c>
      <c r="M13" s="149">
        <f t="shared" si="4"/>
        <v>2.3</v>
      </c>
      <c r="N13" s="149">
        <f t="shared" si="2"/>
        <v>2.3</v>
      </c>
      <c r="O13" s="24"/>
      <c r="P13" s="9"/>
      <c r="U13" s="9"/>
    </row>
    <row r="14" spans="2:21" ht="12.75">
      <c r="B14" s="21"/>
      <c r="C14" s="57">
        <v>1.118</v>
      </c>
      <c r="D14" s="64">
        <v>-4.3</v>
      </c>
      <c r="E14" s="43">
        <v>-1.4</v>
      </c>
      <c r="F14" s="43">
        <v>-1.5</v>
      </c>
      <c r="G14" s="68">
        <v>-2.3</v>
      </c>
      <c r="H14" s="68">
        <v>-1.6</v>
      </c>
      <c r="I14" s="66">
        <v>-0.761393283</v>
      </c>
      <c r="J14" s="52"/>
      <c r="K14" s="83">
        <f t="shared" si="3"/>
        <v>1.118</v>
      </c>
      <c r="L14" s="80">
        <f ca="1" t="shared" si="1"/>
        <v>-1.4019986216402476</v>
      </c>
      <c r="M14" s="149">
        <f t="shared" si="4"/>
        <v>-1.6</v>
      </c>
      <c r="N14" s="151">
        <f t="shared" si="2"/>
        <v>-1.6</v>
      </c>
      <c r="O14" s="24"/>
      <c r="P14" s="9"/>
      <c r="U14" s="9"/>
    </row>
    <row r="15" spans="2:21" ht="12.75">
      <c r="B15" s="21"/>
      <c r="C15" s="57">
        <v>1.554</v>
      </c>
      <c r="D15" s="64">
        <v>-2.2</v>
      </c>
      <c r="E15" s="43">
        <v>-1.3</v>
      </c>
      <c r="F15" s="43">
        <v>-1.2</v>
      </c>
      <c r="G15" s="68">
        <v>-1.4</v>
      </c>
      <c r="H15" s="68">
        <v>-0.6</v>
      </c>
      <c r="I15" s="66">
        <v>0.100977989</v>
      </c>
      <c r="J15" s="52"/>
      <c r="K15" s="83">
        <f t="shared" si="3"/>
        <v>1.554</v>
      </c>
      <c r="L15" s="80">
        <f ca="1" t="shared" si="1"/>
        <v>-1.3006202618883522</v>
      </c>
      <c r="M15" s="149">
        <f t="shared" si="4"/>
        <v>-1.6</v>
      </c>
      <c r="N15" s="149">
        <f t="shared" si="2"/>
        <v>-1.6</v>
      </c>
      <c r="O15" s="24"/>
      <c r="P15" s="9"/>
      <c r="Q15" s="9"/>
      <c r="R15" s="9"/>
      <c r="S15" s="9"/>
      <c r="T15" s="9"/>
      <c r="U15" s="9"/>
    </row>
    <row r="16" spans="2:21" ht="12.75">
      <c r="B16" s="21"/>
      <c r="C16" s="57">
        <v>2.159</v>
      </c>
      <c r="D16" s="64">
        <v>-0.9</v>
      </c>
      <c r="E16" s="43">
        <v>-0.7</v>
      </c>
      <c r="F16" s="43">
        <v>-0.7</v>
      </c>
      <c r="G16" s="68">
        <v>-0.9</v>
      </c>
      <c r="H16" s="68">
        <v>-0.2</v>
      </c>
      <c r="I16" s="66">
        <v>0.38800607</v>
      </c>
      <c r="J16" s="52"/>
      <c r="K16" s="83">
        <f t="shared" si="3"/>
        <v>2.159</v>
      </c>
      <c r="L16" s="80">
        <f ca="1" t="shared" si="1"/>
        <v>-0.7001378359751894</v>
      </c>
      <c r="M16" s="149">
        <f t="shared" si="4"/>
        <v>-0.8</v>
      </c>
      <c r="N16" s="149">
        <f t="shared" si="2"/>
        <v>-0.8</v>
      </c>
      <c r="O16" s="24"/>
      <c r="P16" s="9"/>
      <c r="T16" s="8"/>
      <c r="U16" s="9"/>
    </row>
    <row r="17" spans="2:21" ht="13.5" thickBot="1">
      <c r="B17" s="21"/>
      <c r="C17" s="57">
        <v>3</v>
      </c>
      <c r="D17" s="69">
        <v>0</v>
      </c>
      <c r="E17" s="59">
        <v>0</v>
      </c>
      <c r="F17" s="59">
        <v>-0.1</v>
      </c>
      <c r="G17" s="70">
        <v>-0.3</v>
      </c>
      <c r="H17" s="70">
        <v>0</v>
      </c>
      <c r="I17" s="71">
        <v>0.273725219</v>
      </c>
      <c r="J17" s="52"/>
      <c r="K17" s="84">
        <f t="shared" si="3"/>
        <v>3</v>
      </c>
      <c r="L17" s="81">
        <f ca="1" t="shared" si="1"/>
        <v>0</v>
      </c>
      <c r="M17" s="150">
        <f t="shared" si="4"/>
        <v>0</v>
      </c>
      <c r="N17" s="150">
        <f t="shared" si="2"/>
        <v>0</v>
      </c>
      <c r="O17" s="24"/>
      <c r="P17" s="9"/>
      <c r="T17" s="6"/>
      <c r="U17" s="10"/>
    </row>
    <row r="18" spans="2:21" ht="12.75">
      <c r="B18" s="21"/>
      <c r="C18" s="51"/>
      <c r="D18" s="48"/>
      <c r="E18" s="43"/>
      <c r="F18" s="26"/>
      <c r="G18" s="24"/>
      <c r="H18" s="21"/>
      <c r="I18" s="48"/>
      <c r="J18" s="52"/>
      <c r="K18" s="20"/>
      <c r="L18" s="43"/>
      <c r="M18" s="26"/>
      <c r="N18" s="24"/>
      <c r="O18" s="24"/>
      <c r="P18" s="9"/>
      <c r="T18" s="6"/>
      <c r="U18" s="10"/>
    </row>
    <row r="19" spans="2:21" ht="12.75">
      <c r="B19" s="21"/>
      <c r="C19" s="51"/>
      <c r="D19" s="48"/>
      <c r="E19" s="43"/>
      <c r="F19" s="26"/>
      <c r="G19" s="24"/>
      <c r="H19" s="21"/>
      <c r="I19" s="48"/>
      <c r="J19" s="52"/>
      <c r="K19" s="20"/>
      <c r="L19" s="43"/>
      <c r="M19" s="26"/>
      <c r="N19" s="24"/>
      <c r="O19" s="24"/>
      <c r="P19" s="9"/>
      <c r="T19" s="6"/>
      <c r="U19" s="10"/>
    </row>
    <row r="20" spans="2:21" ht="12.75">
      <c r="B20" s="97" t="s">
        <v>18</v>
      </c>
      <c r="E20" s="43"/>
      <c r="F20" s="96" t="s">
        <v>16</v>
      </c>
      <c r="G20" s="24"/>
      <c r="H20" s="21"/>
      <c r="I20" s="48"/>
      <c r="J20" s="52"/>
      <c r="L20" s="43"/>
      <c r="M20" s="26"/>
      <c r="N20" s="96"/>
      <c r="O20" s="24"/>
      <c r="P20" s="9"/>
      <c r="T20" s="6"/>
      <c r="U20" s="10"/>
    </row>
    <row r="21" spans="2:21" ht="12.75">
      <c r="B21" s="21"/>
      <c r="C21" s="95"/>
      <c r="D21" s="95">
        <v>8</v>
      </c>
      <c r="E21" s="91">
        <v>10</v>
      </c>
      <c r="F21" s="91">
        <v>12</v>
      </c>
      <c r="G21" s="91">
        <v>14</v>
      </c>
      <c r="H21" s="91">
        <v>16</v>
      </c>
      <c r="I21" s="48"/>
      <c r="J21" s="52"/>
      <c r="K21" s="95"/>
      <c r="L21" s="95">
        <v>8</v>
      </c>
      <c r="M21" s="91">
        <v>10</v>
      </c>
      <c r="N21" s="91">
        <v>12</v>
      </c>
      <c r="O21" s="91">
        <v>14</v>
      </c>
      <c r="P21" s="91">
        <v>16</v>
      </c>
      <c r="T21" s="6"/>
      <c r="U21" s="10"/>
    </row>
    <row r="22" spans="2:21" ht="12.75">
      <c r="B22" s="21">
        <f>C22/14.50377</f>
        <v>1.9994801351648572</v>
      </c>
      <c r="C22" s="55">
        <v>29</v>
      </c>
      <c r="D22" s="92">
        <v>2.354</v>
      </c>
      <c r="E22" s="98">
        <v>1.577</v>
      </c>
      <c r="F22" s="99">
        <v>1.173</v>
      </c>
      <c r="G22" s="98">
        <v>0.923</v>
      </c>
      <c r="H22" s="100">
        <v>0.771</v>
      </c>
      <c r="I22" s="48"/>
      <c r="J22" s="52"/>
      <c r="K22" s="57" t="s">
        <v>2</v>
      </c>
      <c r="L22" s="92">
        <f ca="1">FORECAST(FP,OFFSET(D$22:D$29,MATCH(FP,$C$22:$C$29,1)-1,0,2),OFFSET($C$22:$C$29,MATCH(FP,$C$22:$C$29,1)-1,0,2))</f>
        <v>2.7440000000000007</v>
      </c>
      <c r="M22" s="112">
        <f ca="1">FORECAST(FP,OFFSET(E$22:E$29,MATCH(FP,$C$22:$C$29,1)-1,0,2),OFFSET($C$22:$C$29,MATCH(FP,$C$22:$C$29,1)-1,0,2))</f>
        <v>1.739</v>
      </c>
      <c r="N22" s="112">
        <f ca="1">FORECAST(FP,OFFSET(F$22:F$29,MATCH(FP,$C$22:$C$29,1)-1,0,2),OFFSET($C$22:$C$29,MATCH(FP,$C$22:$C$29,1)-1,0,2))</f>
        <v>1.261</v>
      </c>
      <c r="O22" s="112">
        <f ca="1">FORECAST(FP,OFFSET(G$22:G$29,MATCH(FP,$C$22:$C$29,1)-1,0,2),OFFSET($C$22:$C$29,MATCH(FP,$C$22:$C$29,1)-1,0,2))</f>
        <v>0.973</v>
      </c>
      <c r="P22" s="113">
        <f ca="1">FORECAST(FP,OFFSET(H$22:H$29,MATCH(FP,$C$22:$C$29,1)-1,0,2),OFFSET($C$22:$C$29,MATCH(FP,$C$22:$C$29,1)-1,0,2))</f>
        <v>0.801</v>
      </c>
      <c r="T22" s="9"/>
      <c r="U22" s="9"/>
    </row>
    <row r="23" spans="2:21" ht="12.75">
      <c r="B23" s="21">
        <f aca="true" t="shared" si="5" ref="B23:B29">C23/14.50377</f>
        <v>2.999220202747286</v>
      </c>
      <c r="C23" s="55">
        <v>43.5</v>
      </c>
      <c r="D23" s="93">
        <v>2.744</v>
      </c>
      <c r="E23" s="94">
        <v>1.739</v>
      </c>
      <c r="F23" s="53">
        <v>1.261</v>
      </c>
      <c r="G23" s="94">
        <v>0.973</v>
      </c>
      <c r="H23" s="101">
        <v>0.801</v>
      </c>
      <c r="I23" s="48"/>
      <c r="J23" s="52"/>
      <c r="K23" s="78" t="s">
        <v>0</v>
      </c>
      <c r="L23" s="109">
        <f>IF(FP&gt;$I$8,"ERROR",IF(FP&lt;$D$8,"ERROR",_xlfn.IFERROR(L22,"N/A")))</f>
        <v>2.7440000000000007</v>
      </c>
      <c r="M23" s="110">
        <f>IF(FP&gt;$I$8,"ERROR",IF(FP&lt;$D$8,"ERROR",_xlfn.IFERROR(M22,"N/A")))</f>
        <v>1.739</v>
      </c>
      <c r="N23" s="110">
        <f>IF(FP&gt;$I$8,"ERROR",IF(FP&lt;$D$8,"ERROR",_xlfn.IFERROR(N22,"N/A")))</f>
        <v>1.261</v>
      </c>
      <c r="O23" s="110">
        <f>IF(FP&gt;$I$8,"ERROR",IF(FP&lt;$D$8,"ERROR",_xlfn.IFERROR(O22,"N/A")))</f>
        <v>0.973</v>
      </c>
      <c r="P23" s="111">
        <f>IF(FP&gt;$I$8,"ERROR",IF(FP&lt;$D$8,"ERROR",_xlfn.IFERROR(P22,"N/A")))</f>
        <v>0.801</v>
      </c>
      <c r="T23" s="9"/>
      <c r="U23" s="9"/>
    </row>
    <row r="24" spans="2:21" ht="12.75">
      <c r="B24" s="21">
        <f t="shared" si="5"/>
        <v>3.9989602703297145</v>
      </c>
      <c r="C24" s="55">
        <v>58</v>
      </c>
      <c r="D24" s="93">
        <v>3.498</v>
      </c>
      <c r="E24" s="94">
        <v>1.968</v>
      </c>
      <c r="F24" s="26">
        <v>1.409</v>
      </c>
      <c r="G24" s="94">
        <v>1.092</v>
      </c>
      <c r="H24" s="101">
        <v>0.873</v>
      </c>
      <c r="I24" s="48"/>
      <c r="J24" s="52"/>
      <c r="K24" s="55"/>
      <c r="L24" s="26"/>
      <c r="M24" s="94"/>
      <c r="N24" s="26"/>
      <c r="O24" s="94"/>
      <c r="P24" s="94"/>
      <c r="Q24" s="9"/>
      <c r="R24" s="9"/>
      <c r="S24" s="9"/>
      <c r="T24" s="9"/>
      <c r="U24" s="9"/>
    </row>
    <row r="25" spans="2:21" ht="12.75">
      <c r="B25" s="21">
        <f t="shared" si="5"/>
        <v>4.653962383573375</v>
      </c>
      <c r="C25" s="55">
        <v>67.5</v>
      </c>
      <c r="D25" s="93">
        <v>4.04</v>
      </c>
      <c r="E25" s="94">
        <v>2.135</v>
      </c>
      <c r="F25" s="26">
        <v>1.52</v>
      </c>
      <c r="G25" s="94">
        <v>1.17</v>
      </c>
      <c r="H25" s="101">
        <v>0.94</v>
      </c>
      <c r="I25" s="48"/>
      <c r="J25" s="52"/>
      <c r="K25" s="55"/>
      <c r="L25" s="26"/>
      <c r="M25" s="94"/>
      <c r="N25" s="94"/>
      <c r="O25" s="94"/>
      <c r="P25" s="94"/>
      <c r="Q25" s="11"/>
      <c r="R25" s="9"/>
      <c r="S25" s="9"/>
      <c r="T25" s="9"/>
      <c r="U25" s="9"/>
    </row>
    <row r="26" spans="2:21" ht="12.75">
      <c r="B26" s="21">
        <f t="shared" si="5"/>
        <v>5.000010342138631</v>
      </c>
      <c r="C26" s="55">
        <v>72.519</v>
      </c>
      <c r="D26" s="93" t="s">
        <v>40</v>
      </c>
      <c r="E26" s="94">
        <v>2.225</v>
      </c>
      <c r="F26" s="26">
        <v>1.575</v>
      </c>
      <c r="G26" s="94">
        <v>1.215</v>
      </c>
      <c r="H26" s="101">
        <v>0.975</v>
      </c>
      <c r="I26" s="24"/>
      <c r="J26" s="21"/>
      <c r="K26" s="56"/>
      <c r="L26" s="94"/>
      <c r="M26" s="94"/>
      <c r="N26" s="94"/>
      <c r="O26" s="94"/>
      <c r="P26" s="53"/>
      <c r="Q26" s="7"/>
      <c r="R26" s="7"/>
      <c r="S26" s="7"/>
      <c r="T26" s="7"/>
      <c r="U26" s="7"/>
    </row>
    <row r="27" spans="2:21" ht="12.75">
      <c r="B27" s="21">
        <f t="shared" si="5"/>
        <v>5.343438292250911</v>
      </c>
      <c r="C27" s="152">
        <v>77.5</v>
      </c>
      <c r="D27" s="93" t="s">
        <v>40</v>
      </c>
      <c r="E27" s="94">
        <v>2.32</v>
      </c>
      <c r="F27" s="154">
        <v>1.635</v>
      </c>
      <c r="G27" s="154">
        <v>1.255</v>
      </c>
      <c r="H27" s="101">
        <v>1.01</v>
      </c>
      <c r="S27" s="9"/>
      <c r="T27" s="9"/>
      <c r="U27" s="7"/>
    </row>
    <row r="28" spans="2:21" ht="12.75">
      <c r="B28" s="21">
        <f t="shared" si="5"/>
        <v>5.998447300253659</v>
      </c>
      <c r="C28" s="56">
        <v>87.0001</v>
      </c>
      <c r="D28" s="93" t="s">
        <v>40</v>
      </c>
      <c r="E28" s="94">
        <v>2.495</v>
      </c>
      <c r="F28" s="153">
        <v>1.75</v>
      </c>
      <c r="G28" s="153">
        <v>1.33</v>
      </c>
      <c r="H28" s="101">
        <v>1.065</v>
      </c>
      <c r="O28" s="25"/>
      <c r="P28" s="9"/>
      <c r="Q28" s="9"/>
      <c r="R28" s="9"/>
      <c r="S28" s="9"/>
      <c r="T28" s="9"/>
      <c r="U28" s="7"/>
    </row>
    <row r="29" spans="2:21" ht="12.75">
      <c r="B29" s="21">
        <f t="shared" si="5"/>
        <v>6.481073541568848</v>
      </c>
      <c r="C29" s="56">
        <v>94</v>
      </c>
      <c r="D29" s="102" t="s">
        <v>40</v>
      </c>
      <c r="E29" s="103" t="s">
        <v>40</v>
      </c>
      <c r="F29" s="103">
        <v>1.83</v>
      </c>
      <c r="G29" s="103">
        <v>1.39</v>
      </c>
      <c r="H29" s="104">
        <v>1.115</v>
      </c>
      <c r="I29" s="21"/>
      <c r="J29" s="24"/>
      <c r="K29" s="24"/>
      <c r="L29" s="43"/>
      <c r="M29" s="26"/>
      <c r="N29" s="24"/>
      <c r="O29" s="25"/>
      <c r="P29" s="9"/>
      <c r="Q29" s="9"/>
      <c r="R29" s="9"/>
      <c r="S29" s="7"/>
      <c r="T29" s="7"/>
      <c r="U29" s="7"/>
    </row>
    <row r="30" spans="2:18" ht="12.75">
      <c r="B30" s="21"/>
      <c r="C30" s="21"/>
      <c r="D30" s="21"/>
      <c r="E30" s="24"/>
      <c r="F30" s="24"/>
      <c r="G30" s="24"/>
      <c r="H30" s="24"/>
      <c r="I30" s="24"/>
      <c r="J30" s="24"/>
      <c r="K30" s="24"/>
      <c r="L30" s="43"/>
      <c r="M30" s="26"/>
      <c r="N30" s="24"/>
      <c r="O30" s="24"/>
      <c r="P30" s="7"/>
      <c r="Q30" s="7"/>
      <c r="R30" s="7"/>
    </row>
    <row r="31" spans="2:14" ht="12.75">
      <c r="B31" s="45" t="s">
        <v>20</v>
      </c>
      <c r="C31" s="54"/>
      <c r="D31" s="46" t="s">
        <v>35</v>
      </c>
      <c r="F31" s="46" t="s">
        <v>36</v>
      </c>
      <c r="H31" s="45" t="s">
        <v>24</v>
      </c>
      <c r="I31" s="21"/>
      <c r="J31" s="21"/>
      <c r="N31" s="24"/>
    </row>
    <row r="32" spans="2:12" ht="12.75">
      <c r="B32" s="45"/>
      <c r="C32" s="105" t="s">
        <v>22</v>
      </c>
      <c r="D32" s="106">
        <v>0.724</v>
      </c>
      <c r="E32" s="120">
        <v>0</v>
      </c>
      <c r="F32" s="122">
        <f>TREND(D32:D33,E32:E33,ETH,TRUE)</f>
        <v>0.724</v>
      </c>
      <c r="H32" s="28">
        <f>14.64-ETH*0.0563</f>
        <v>14.077</v>
      </c>
      <c r="I32" s="21"/>
      <c r="J32" s="21"/>
      <c r="K32" s="57" t="s">
        <v>2</v>
      </c>
      <c r="L32" s="78" t="s">
        <v>0</v>
      </c>
    </row>
    <row r="33" spans="2:12" ht="14.25">
      <c r="B33" s="45"/>
      <c r="C33" s="105" t="s">
        <v>21</v>
      </c>
      <c r="D33" s="107">
        <v>0.724</v>
      </c>
      <c r="E33" s="121">
        <v>100</v>
      </c>
      <c r="F33" s="21"/>
      <c r="G33" s="21"/>
      <c r="H33" s="21"/>
      <c r="I33" s="27"/>
      <c r="J33" s="21"/>
      <c r="K33" s="134">
        <f ca="1">FORECAST(FP,OFFSET(I36:I41,MATCH(FP,G36:G41,1)-1,0,2),OFFSET(G36:G41,MATCH(FP,G36:G41,1)-1,0,2))</f>
        <v>1704.2368380147934</v>
      </c>
      <c r="L33" s="133">
        <f>_xlfn.IFERROR(K33,"ERROR")</f>
        <v>1704.2368380147934</v>
      </c>
    </row>
    <row r="34" spans="2:10" ht="12.75">
      <c r="B34" s="45"/>
      <c r="D34" s="21"/>
      <c r="E34" s="21"/>
      <c r="F34" s="21"/>
      <c r="G34" s="128" t="s">
        <v>17</v>
      </c>
      <c r="H34" s="128" t="s">
        <v>30</v>
      </c>
      <c r="I34" s="128" t="s">
        <v>31</v>
      </c>
      <c r="J34" s="21"/>
    </row>
    <row r="35" spans="2:9" ht="12.75">
      <c r="B35" s="90" t="s">
        <v>25</v>
      </c>
      <c r="C35"/>
      <c r="D35"/>
      <c r="E35" s="115">
        <v>0.5</v>
      </c>
      <c r="F35"/>
      <c r="G35" s="128" t="s">
        <v>32</v>
      </c>
      <c r="H35" s="128" t="s">
        <v>33</v>
      </c>
      <c r="I35" s="128" t="s">
        <v>34</v>
      </c>
    </row>
    <row r="36" spans="2:9" ht="15">
      <c r="B36" s="129" t="s">
        <v>28</v>
      </c>
      <c r="C36" s="114"/>
      <c r="D36" s="114"/>
      <c r="E36" s="116">
        <v>1036</v>
      </c>
      <c r="F36"/>
      <c r="G36" s="123">
        <v>29</v>
      </c>
      <c r="H36" s="125">
        <v>1406</v>
      </c>
      <c r="I36" s="130">
        <f aca="true" t="shared" si="6" ref="I36:I41">$E$38/((H36*$F$32)/60000000)</f>
        <v>2093.5688951772054</v>
      </c>
    </row>
    <row r="37" spans="2:9" ht="15">
      <c r="B37"/>
      <c r="C37"/>
      <c r="D37"/>
      <c r="F37"/>
      <c r="G37" s="124">
        <v>43.5</v>
      </c>
      <c r="H37" s="126">
        <v>1727.2</v>
      </c>
      <c r="I37" s="131">
        <f t="shared" si="6"/>
        <v>1704.2368380147934</v>
      </c>
    </row>
    <row r="38" spans="2:10" ht="15">
      <c r="B38" s="90" t="s">
        <v>26</v>
      </c>
      <c r="C38"/>
      <c r="D38"/>
      <c r="E38" s="117">
        <f>E35/H32</f>
        <v>0.035518931590537754</v>
      </c>
      <c r="F38"/>
      <c r="G38" s="124">
        <v>58</v>
      </c>
      <c r="H38" s="126">
        <v>2002.8</v>
      </c>
      <c r="I38" s="131">
        <f t="shared" si="6"/>
        <v>1469.7213234567362</v>
      </c>
      <c r="J38"/>
    </row>
    <row r="39" spans="2:9" ht="15">
      <c r="B39" s="90" t="s">
        <v>27</v>
      </c>
      <c r="C39"/>
      <c r="D39"/>
      <c r="E39" s="118">
        <f>(E36*F32)/60000000</f>
        <v>1.2501066666666666E-05</v>
      </c>
      <c r="G39" s="124">
        <v>72.5</v>
      </c>
      <c r="H39" s="126">
        <v>2245</v>
      </c>
      <c r="I39" s="131">
        <f t="shared" si="6"/>
        <v>1311.1616332379292</v>
      </c>
    </row>
    <row r="40" spans="2:9" ht="15">
      <c r="B40" s="129" t="s">
        <v>29</v>
      </c>
      <c r="C40" s="114"/>
      <c r="D40" s="114"/>
      <c r="E40" s="119">
        <f>E38/E39</f>
        <v>2841.2720720262078</v>
      </c>
      <c r="G40" s="170">
        <v>87.001</v>
      </c>
      <c r="H40" s="126">
        <v>2463.3</v>
      </c>
      <c r="I40" s="131">
        <f t="shared" si="6"/>
        <v>1194.9652363167909</v>
      </c>
    </row>
    <row r="41" spans="7:9" ht="15">
      <c r="G41" s="135">
        <v>94</v>
      </c>
      <c r="H41" s="127">
        <v>2560</v>
      </c>
      <c r="I41" s="132">
        <f t="shared" si="6"/>
        <v>1149.8272916481058</v>
      </c>
    </row>
    <row r="50" spans="7:9" ht="12.75">
      <c r="G50" s="7"/>
      <c r="H50" s="7"/>
      <c r="I50" s="7"/>
    </row>
  </sheetData>
  <sheetProtection password="C7F7" sheet="1" objects="1" scenarios="1" selectLockedCells="1" selectUnlockedCells="1"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Jason</cp:lastModifiedBy>
  <dcterms:created xsi:type="dcterms:W3CDTF">2009-07-22T19:57:52Z</dcterms:created>
  <dcterms:modified xsi:type="dcterms:W3CDTF">2015-06-26T01:08:15Z</dcterms:modified>
  <cp:category/>
  <cp:version/>
  <cp:contentType/>
  <cp:contentStatus/>
</cp:coreProperties>
</file>