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ony home\Desktop\Injector Dynamics\"/>
    </mc:Choice>
  </mc:AlternateContent>
  <xr:revisionPtr revIDLastSave="0" documentId="8_{8AB8E3D4-CC91-49F1-B8EE-C40FEB99B13E}" xr6:coauthVersionLast="45" xr6:coauthVersionMax="45" xr10:uidLastSave="{00000000-0000-0000-0000-000000000000}"/>
  <bookViews>
    <workbookView xWindow="-108" yWindow="-108" windowWidth="46296" windowHeight="1881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1" l="1"/>
  <c r="H33" i="1"/>
  <c r="G33" i="1"/>
  <c r="F33" i="1"/>
  <c r="E33" i="1"/>
  <c r="D33" i="1"/>
  <c r="H27" i="1"/>
  <c r="G27" i="1"/>
  <c r="F27" i="1"/>
  <c r="E27" i="1"/>
  <c r="D27" i="1"/>
  <c r="H26" i="1"/>
  <c r="G26" i="1"/>
  <c r="F26" i="1"/>
  <c r="E26" i="1"/>
  <c r="D26" i="1"/>
  <c r="H25" i="1"/>
  <c r="G25" i="1"/>
  <c r="F25" i="1"/>
  <c r="E25" i="1"/>
  <c r="D25" i="1"/>
  <c r="G32" i="1"/>
  <c r="F32" i="1"/>
  <c r="E32" i="1"/>
  <c r="D32" i="1"/>
  <c r="G31" i="1"/>
  <c r="F31" i="1"/>
  <c r="E31" i="1"/>
  <c r="D31" i="1"/>
  <c r="G30" i="1"/>
  <c r="F30" i="1"/>
  <c r="E30" i="1"/>
  <c r="D30" i="1"/>
  <c r="I29" i="1"/>
  <c r="H29" i="1"/>
  <c r="G29" i="1"/>
  <c r="F29" i="1"/>
  <c r="D29" i="1"/>
  <c r="E29" i="1"/>
  <c r="H28" i="1"/>
  <c r="G28" i="1"/>
  <c r="F28" i="1"/>
  <c r="E28" i="1"/>
  <c r="D28" i="1"/>
  <c r="H24" i="1"/>
  <c r="G24" i="1"/>
  <c r="F24" i="1"/>
  <c r="E24" i="1"/>
  <c r="D24" i="1"/>
  <c r="H23" i="1"/>
  <c r="G23" i="1"/>
  <c r="F23" i="1"/>
  <c r="E23" i="1"/>
  <c r="D23" i="1"/>
  <c r="H22" i="1"/>
  <c r="G22" i="1"/>
  <c r="F22" i="1"/>
  <c r="E22" i="1"/>
  <c r="D22" i="1"/>
  <c r="H21" i="1"/>
  <c r="G21" i="1"/>
  <c r="F21" i="1"/>
  <c r="E21" i="1"/>
  <c r="D21" i="1"/>
  <c r="H20" i="1"/>
  <c r="G20" i="1"/>
  <c r="F20" i="1"/>
  <c r="E20" i="1"/>
  <c r="D20" i="1"/>
  <c r="H19" i="1"/>
  <c r="G19" i="1"/>
  <c r="F19" i="1"/>
  <c r="E19" i="1"/>
  <c r="D19" i="1"/>
  <c r="H18" i="1"/>
  <c r="G18" i="1"/>
  <c r="F18" i="1"/>
  <c r="E18" i="1"/>
  <c r="D18" i="1"/>
  <c r="H17" i="1"/>
  <c r="G17" i="1"/>
  <c r="F17" i="1"/>
  <c r="E17" i="1"/>
  <c r="D17" i="1"/>
  <c r="I34" i="1" l="1"/>
  <c r="H34" i="1"/>
  <c r="G34" i="1"/>
  <c r="F34" i="1"/>
  <c r="E34" i="1"/>
  <c r="D34" i="1"/>
  <c r="H10" i="1" l="1"/>
  <c r="H11" i="1" s="1"/>
  <c r="G10" i="1"/>
  <c r="G11" i="1" s="1"/>
</calcChain>
</file>

<file path=xl/sharedStrings.xml><?xml version="1.0" encoding="utf-8"?>
<sst xmlns="http://schemas.openxmlformats.org/spreadsheetml/2006/main" count="117" uniqueCount="69">
  <si>
    <t>Gasoline</t>
  </si>
  <si>
    <t>Ethanol</t>
  </si>
  <si>
    <t>Fuel Type</t>
  </si>
  <si>
    <t>(psid)</t>
  </si>
  <si>
    <t>(cc/min)</t>
  </si>
  <si>
    <t>Number of Injectors</t>
  </si>
  <si>
    <t>Gas</t>
  </si>
  <si>
    <t>Estimated HP Capability</t>
  </si>
  <si>
    <t>Total Flow (cc/min)</t>
  </si>
  <si>
    <t>Flow Rate (cc/min)</t>
  </si>
  <si>
    <t>HP estimate (hp/L)</t>
  </si>
  <si>
    <t>Conversion</t>
  </si>
  <si>
    <t>Liter</t>
  </si>
  <si>
    <t>CC</t>
  </si>
  <si>
    <t>Total System Pressure (base + boost, unless returnless)</t>
  </si>
  <si>
    <t>Pumps</t>
  </si>
  <si>
    <t>Bosch 044</t>
  </si>
  <si>
    <t>N/A</t>
  </si>
  <si>
    <t>Weldon 2015</t>
  </si>
  <si>
    <t>Weldon 2025</t>
  </si>
  <si>
    <t>Weldon 2035</t>
  </si>
  <si>
    <t>Weldon 2345</t>
  </si>
  <si>
    <t>ID725</t>
  </si>
  <si>
    <t>ID850</t>
  </si>
  <si>
    <t xml:space="preserve">ID1000 </t>
  </si>
  <si>
    <t xml:space="preserve">ID1050x </t>
  </si>
  <si>
    <t xml:space="preserve">ID2000 </t>
  </si>
  <si>
    <t>Input Data</t>
  </si>
  <si>
    <t># of Pumps</t>
  </si>
  <si>
    <t>Data Source</t>
  </si>
  <si>
    <t>Voltage</t>
  </si>
  <si>
    <t>Radium</t>
  </si>
  <si>
    <t>Real Street</t>
  </si>
  <si>
    <t>AEM 50-1000</t>
  </si>
  <si>
    <t>45 psi</t>
  </si>
  <si>
    <t>60 psi</t>
  </si>
  <si>
    <t>75 psi</t>
  </si>
  <si>
    <t>90 psi</t>
  </si>
  <si>
    <t>105 psi</t>
  </si>
  <si>
    <t>120 psi</t>
  </si>
  <si>
    <t>AEM 50-1200</t>
  </si>
  <si>
    <t>AEM 50-1005</t>
  </si>
  <si>
    <t>Aeromotive 11165</t>
  </si>
  <si>
    <t>Aeromotive 11150</t>
  </si>
  <si>
    <t>Walbro F90000274</t>
  </si>
  <si>
    <t>Walbro F90000285</t>
  </si>
  <si>
    <t>Walbro F90000267</t>
  </si>
  <si>
    <t>8 to 16</t>
  </si>
  <si>
    <r>
      <t xml:space="preserve">Walbro F90000295 </t>
    </r>
    <r>
      <rPr>
        <b/>
        <sz val="11"/>
        <color rgb="FFFF0000"/>
        <rFont val="Calibri"/>
        <family val="2"/>
      </rPr>
      <t>*</t>
    </r>
  </si>
  <si>
    <r>
      <t xml:space="preserve">Bosch BR540 </t>
    </r>
    <r>
      <rPr>
        <b/>
        <sz val="11"/>
        <color rgb="FFFF0000"/>
        <rFont val="Calibri"/>
        <family val="2"/>
      </rPr>
      <t>*</t>
    </r>
  </si>
  <si>
    <r>
      <t xml:space="preserve">TI BKS1000 </t>
    </r>
    <r>
      <rPr>
        <b/>
        <sz val="11"/>
        <color rgb="FFFF0000"/>
        <rFont val="Calibri"/>
        <family val="2"/>
      </rPr>
      <t>*</t>
    </r>
  </si>
  <si>
    <t>Weldon</t>
  </si>
  <si>
    <t>Injector Dynamics</t>
  </si>
  <si>
    <r>
      <t xml:space="preserve">AMS Brushless </t>
    </r>
    <r>
      <rPr>
        <b/>
        <sz val="11"/>
        <color rgb="FFFF0000"/>
        <rFont val="Calibri"/>
        <family val="2"/>
      </rPr>
      <t>*</t>
    </r>
  </si>
  <si>
    <r>
      <t xml:space="preserve">ID BPC100 </t>
    </r>
    <r>
      <rPr>
        <b/>
        <sz val="11"/>
        <color rgb="FFFF0000"/>
        <rFont val="Calibri"/>
        <family val="2"/>
      </rPr>
      <t>*</t>
    </r>
  </si>
  <si>
    <t xml:space="preserve">The intention of this spreadsheet is to help estimate fuel pump flow relative to injector flow, as well as estimate HP potential of a set of injectors. </t>
  </si>
  <si>
    <t>MAP Referenced</t>
  </si>
  <si>
    <t>Returnless</t>
  </si>
  <si>
    <t xml:space="preserve">    The relevant fuel pressure for the injector flow rate is your fuel pressure with the vacuum line disconnected from your fuel pressure regulator</t>
  </si>
  <si>
    <t xml:space="preserve">    The relevant fuel pressure for the injector flow rate in a returnless, constant pressure, system is that of your fuel pressure MINUS the maximum boost pressure</t>
  </si>
  <si>
    <t xml:space="preserve">    The relevant fuel pressure for your pump is your total system pressure, which is your base fuel pressure + boost + pressure drop through the system (5-10% typically)</t>
  </si>
  <si>
    <t xml:space="preserve">    The relevant fuel pressure for your pump is your regulated fuel pressure </t>
  </si>
  <si>
    <t xml:space="preserve">   The Yellow cells are where you input your data.  The number of injectors, flow rate per injector, and the number of fuel pumps.  You can then compare the injector flow rate to pump flow rate   </t>
  </si>
  <si>
    <t xml:space="preserve">   and see if you have enough fuel pump to supply the injectors at 100% duty cycle.  You will typically want at least 10% more pump flow than injector flow. </t>
  </si>
  <si>
    <t>*  These pumps do not have check valves built in, and are not suitable for most staged pump fuel systems unless they're added</t>
  </si>
  <si>
    <r>
      <t>ID1300x</t>
    </r>
    <r>
      <rPr>
        <b/>
        <vertAlign val="superscript"/>
        <sz val="12"/>
        <color theme="1"/>
        <rFont val="Calibri"/>
        <family val="2"/>
        <scheme val="minor"/>
      </rPr>
      <t>2</t>
    </r>
  </si>
  <si>
    <t xml:space="preserve">ID1700-XDS </t>
  </si>
  <si>
    <t>ID2600-XDS</t>
  </si>
  <si>
    <t>Flow (cc/min)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</si>
</sst>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b/>
      <sz val="11"/>
      <color theme="1"/>
      <name val="Calibri"/>
      <family val="2"/>
      <scheme val="minor"/>
    </font>
    <font>
      <sz val="11"/>
      <name val="Calibri"/>
      <family val="2"/>
      <scheme val="minor"/>
    </font>
    <font>
      <b/>
      <sz val="12"/>
      <name val="Calibri"/>
      <family val="2"/>
    </font>
    <font>
      <sz val="11"/>
      <name val="Calibri"/>
      <family val="2"/>
    </font>
    <font>
      <b/>
      <sz val="11"/>
      <name val="Calibri"/>
      <family val="2"/>
    </font>
    <font>
      <sz val="10"/>
      <name val="Calibri"/>
      <family val="2"/>
    </font>
    <font>
      <b/>
      <sz val="10"/>
      <name val="Calibri"/>
      <family val="2"/>
    </font>
    <font>
      <i/>
      <sz val="11"/>
      <color theme="1"/>
      <name val="Calibri"/>
      <family val="2"/>
      <scheme val="minor"/>
    </font>
    <font>
      <b/>
      <sz val="11"/>
      <color rgb="FFFF0000"/>
      <name val="Calibri"/>
      <family val="2"/>
    </font>
    <font>
      <b/>
      <sz val="11"/>
      <color rgb="FFC00000"/>
      <name val="Calibri"/>
      <family val="2"/>
      <scheme val="minor"/>
    </font>
    <font>
      <b/>
      <u/>
      <sz val="12"/>
      <color theme="1"/>
      <name val="Calibri"/>
      <family val="2"/>
      <scheme val="minor"/>
    </font>
    <font>
      <b/>
      <vertAlign val="superscript"/>
      <sz val="12"/>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rgb="FFFFC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1" fillId="2" borderId="0" xfId="0" applyFont="1" applyFill="1"/>
    <xf numFmtId="0" fontId="1" fillId="2" borderId="5" xfId="0" applyFont="1" applyFill="1" applyBorder="1"/>
    <xf numFmtId="0" fontId="2" fillId="4" borderId="2" xfId="0" applyFont="1" applyFill="1" applyBorder="1" applyAlignment="1">
      <alignment horizontal="center" vertical="top"/>
    </xf>
    <xf numFmtId="0" fontId="1" fillId="5" borderId="0" xfId="0" applyFont="1" applyFill="1"/>
    <xf numFmtId="0" fontId="1" fillId="5" borderId="0" xfId="0" applyFont="1" applyFill="1" applyAlignment="1">
      <alignment horizontal="center"/>
    </xf>
    <xf numFmtId="0" fontId="2" fillId="4" borderId="9" xfId="0" applyFont="1" applyFill="1" applyBorder="1"/>
    <xf numFmtId="0" fontId="1" fillId="5" borderId="2" xfId="0" applyFont="1" applyFill="1" applyBorder="1" applyAlignment="1">
      <alignment horizontal="center"/>
    </xf>
    <xf numFmtId="164" fontId="1" fillId="5" borderId="2" xfId="0" applyNumberFormat="1" applyFont="1" applyFill="1" applyBorder="1" applyAlignment="1">
      <alignment horizontal="center" vertical="top"/>
    </xf>
    <xf numFmtId="0" fontId="4" fillId="5" borderId="2" xfId="0" applyFont="1" applyFill="1" applyBorder="1" applyAlignment="1">
      <alignment horizontal="center"/>
    </xf>
    <xf numFmtId="0" fontId="4" fillId="4" borderId="3" xfId="0" applyFont="1" applyFill="1" applyBorder="1"/>
    <xf numFmtId="0" fontId="4" fillId="4" borderId="1" xfId="0" applyFont="1" applyFill="1" applyBorder="1"/>
    <xf numFmtId="0" fontId="4" fillId="4" borderId="4" xfId="0" applyFont="1" applyFill="1" applyBorder="1"/>
    <xf numFmtId="0" fontId="5" fillId="3" borderId="2" xfId="0" applyFont="1" applyFill="1" applyBorder="1" applyAlignment="1">
      <alignment horizontal="center"/>
    </xf>
    <xf numFmtId="3" fontId="1" fillId="3" borderId="2" xfId="0" applyNumberFormat="1" applyFont="1" applyFill="1" applyBorder="1" applyAlignment="1">
      <alignment horizontal="center"/>
    </xf>
    <xf numFmtId="0" fontId="1" fillId="5" borderId="6" xfId="0" applyFont="1" applyFill="1" applyBorder="1" applyAlignment="1">
      <alignment horizontal="center"/>
    </xf>
    <xf numFmtId="3" fontId="1" fillId="5" borderId="2" xfId="0" applyNumberFormat="1" applyFont="1" applyFill="1" applyBorder="1" applyAlignment="1">
      <alignment horizontal="center"/>
    </xf>
    <xf numFmtId="3" fontId="4" fillId="5" borderId="2" xfId="0" applyNumberFormat="1" applyFont="1" applyFill="1" applyBorder="1" applyAlignment="1">
      <alignment horizontal="center"/>
    </xf>
    <xf numFmtId="0" fontId="8" fillId="5" borderId="6" xfId="0" applyFont="1" applyFill="1" applyBorder="1" applyAlignment="1">
      <alignment horizontal="center"/>
    </xf>
    <xf numFmtId="0" fontId="7" fillId="5" borderId="2" xfId="0" applyFont="1" applyFill="1" applyBorder="1"/>
    <xf numFmtId="0" fontId="8" fillId="5" borderId="2" xfId="0" applyFont="1" applyFill="1" applyBorder="1"/>
    <xf numFmtId="38" fontId="7" fillId="5" borderId="2" xfId="0" applyNumberFormat="1" applyFont="1" applyFill="1" applyBorder="1"/>
    <xf numFmtId="38" fontId="7" fillId="5" borderId="2" xfId="0" applyNumberFormat="1" applyFont="1" applyFill="1" applyBorder="1" applyAlignment="1">
      <alignment horizontal="right"/>
    </xf>
    <xf numFmtId="0" fontId="9" fillId="5" borderId="0" xfId="0" applyFont="1" applyFill="1"/>
    <xf numFmtId="0" fontId="10" fillId="5" borderId="0" xfId="0" applyFont="1" applyFill="1" applyBorder="1" applyAlignment="1">
      <alignment horizontal="center" vertical="center"/>
    </xf>
    <xf numFmtId="38" fontId="7" fillId="3" borderId="2" xfId="0" applyNumberFormat="1" applyFont="1" applyFill="1" applyBorder="1" applyAlignment="1">
      <alignment horizontal="center"/>
    </xf>
    <xf numFmtId="0" fontId="8" fillId="5" borderId="2" xfId="0" applyFont="1" applyFill="1" applyBorder="1" applyAlignment="1">
      <alignment horizontal="center"/>
    </xf>
    <xf numFmtId="3" fontId="4" fillId="5" borderId="0" xfId="0" applyNumberFormat="1" applyFont="1" applyFill="1" applyBorder="1" applyAlignment="1">
      <alignment horizontal="center"/>
    </xf>
    <xf numFmtId="0" fontId="1" fillId="5" borderId="0" xfId="0" applyFont="1" applyFill="1" applyBorder="1" applyAlignment="1">
      <alignment horizontal="center"/>
    </xf>
    <xf numFmtId="0" fontId="8" fillId="5" borderId="6" xfId="0" applyFont="1" applyFill="1" applyBorder="1"/>
    <xf numFmtId="164" fontId="1" fillId="5" borderId="0" xfId="0" applyNumberFormat="1" applyFont="1" applyFill="1" applyBorder="1" applyAlignment="1">
      <alignment horizontal="center" vertical="top"/>
    </xf>
    <xf numFmtId="0" fontId="11" fillId="5" borderId="0" xfId="0" applyFont="1" applyFill="1"/>
    <xf numFmtId="0" fontId="11" fillId="5" borderId="0" xfId="0" applyFont="1" applyFill="1" applyAlignment="1">
      <alignment horizontal="center"/>
    </xf>
    <xf numFmtId="164" fontId="4" fillId="5" borderId="0" xfId="0" applyNumberFormat="1" applyFont="1" applyFill="1"/>
    <xf numFmtId="164" fontId="0" fillId="5" borderId="0" xfId="0" applyNumberFormat="1" applyFont="1" applyFill="1"/>
    <xf numFmtId="0" fontId="0" fillId="5" borderId="0" xfId="0" applyFont="1" applyFill="1"/>
    <xf numFmtId="0" fontId="0" fillId="5" borderId="0" xfId="0" applyFont="1" applyFill="1" applyAlignment="1">
      <alignment horizontal="center"/>
    </xf>
    <xf numFmtId="2" fontId="7" fillId="5" borderId="2" xfId="0" applyNumberFormat="1" applyFont="1" applyFill="1" applyBorder="1"/>
    <xf numFmtId="0" fontId="4" fillId="5" borderId="0" xfId="0" applyFont="1" applyFill="1"/>
    <xf numFmtId="0" fontId="8" fillId="5" borderId="0" xfId="0" applyFont="1" applyFill="1"/>
    <xf numFmtId="0" fontId="14" fillId="5" borderId="0" xfId="0" applyFont="1" applyFill="1" applyAlignment="1">
      <alignment horizontal="center"/>
    </xf>
    <xf numFmtId="0" fontId="4" fillId="5" borderId="0" xfId="0" applyFont="1" applyFill="1" applyAlignment="1"/>
    <xf numFmtId="0" fontId="14" fillId="5" borderId="0" xfId="0" applyFont="1" applyFill="1" applyAlignment="1">
      <alignment horizontal="center"/>
    </xf>
    <xf numFmtId="0" fontId="4" fillId="5" borderId="0" xfId="0" applyFont="1" applyFill="1" applyAlignment="1">
      <alignment horizontal="left"/>
    </xf>
    <xf numFmtId="0" fontId="2" fillId="4" borderId="9" xfId="0" applyFont="1" applyFill="1" applyBorder="1" applyAlignment="1">
      <alignment horizontal="center"/>
    </xf>
    <xf numFmtId="0" fontId="2" fillId="4" borderId="7" xfId="0" applyFont="1" applyFill="1" applyBorder="1" applyAlignment="1">
      <alignment horizontal="center"/>
    </xf>
    <xf numFmtId="0" fontId="1" fillId="5" borderId="2" xfId="0" applyFont="1" applyFill="1" applyBorder="1" applyAlignment="1">
      <alignment horizontal="right"/>
    </xf>
    <xf numFmtId="0" fontId="3" fillId="3" borderId="7" xfId="0" applyFont="1" applyFill="1" applyBorder="1" applyAlignment="1">
      <alignment horizontal="center"/>
    </xf>
    <xf numFmtId="0" fontId="3" fillId="3" borderId="8" xfId="0" applyFont="1" applyFill="1" applyBorder="1" applyAlignment="1">
      <alignment horizontal="center"/>
    </xf>
    <xf numFmtId="0" fontId="2" fillId="4" borderId="2" xfId="0" applyFont="1" applyFill="1" applyBorder="1" applyAlignment="1">
      <alignment horizontal="center"/>
    </xf>
    <xf numFmtId="0" fontId="6" fillId="4" borderId="2" xfId="0" applyFont="1" applyFill="1" applyBorder="1" applyAlignment="1">
      <alignment horizontal="center"/>
    </xf>
    <xf numFmtId="0" fontId="4" fillId="5" borderId="2" xfId="0" applyFont="1" applyFill="1" applyBorder="1" applyAlignment="1">
      <alignment horizontal="right"/>
    </xf>
    <xf numFmtId="0" fontId="2" fillId="4" borderId="8" xfId="0" applyFont="1" applyFill="1" applyBorder="1" applyAlignment="1">
      <alignment horizontal="center"/>
    </xf>
    <xf numFmtId="0" fontId="13" fillId="5" borderId="1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4</xdr:row>
      <xdr:rowOff>85725</xdr:rowOff>
    </xdr:to>
    <xdr:pic>
      <xdr:nvPicPr>
        <xdr:cNvPr id="3" name="Picture 1">
          <a:extLst>
            <a:ext uri="{FF2B5EF4-FFF2-40B4-BE49-F238E27FC236}">
              <a16:creationId xmlns:a16="http://schemas.microsoft.com/office/drawing/2014/main" id="{A1EEB866-720F-46ED-8CA7-C3F708247D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9"/>
  <sheetViews>
    <sheetView tabSelected="1" zoomScaleNormal="100" workbookViewId="0"/>
  </sheetViews>
  <sheetFormatPr defaultColWidth="9.109375" defaultRowHeight="14.4" x14ac:dyDescent="0.3"/>
  <cols>
    <col min="1" max="1" width="16.88671875" style="4" bestFit="1" customWidth="1"/>
    <col min="2" max="2" width="19.5546875" style="4" bestFit="1" customWidth="1"/>
    <col min="3" max="3" width="7.88671875" style="4" bestFit="1" customWidth="1"/>
    <col min="4" max="10" width="11.6640625" style="4" customWidth="1"/>
    <col min="11" max="11" width="8.44140625" style="4" bestFit="1" customWidth="1"/>
    <col min="12" max="12" width="6.109375" style="4" bestFit="1" customWidth="1"/>
    <col min="13" max="13" width="8.44140625" style="4" bestFit="1" customWidth="1"/>
    <col min="14" max="14" width="5.33203125" style="4" customWidth="1"/>
    <col min="15" max="15" width="6.109375" style="4" bestFit="1" customWidth="1"/>
    <col min="16" max="16" width="8.44140625" style="4" bestFit="1" customWidth="1"/>
    <col min="17" max="17" width="5.33203125" style="4" customWidth="1"/>
    <col min="18" max="18" width="6.109375" style="4" bestFit="1" customWidth="1"/>
    <col min="19" max="19" width="8.44140625" style="4" bestFit="1" customWidth="1"/>
    <col min="20" max="20" width="5.33203125" style="4" customWidth="1"/>
    <col min="21" max="21" width="6.109375" style="4" bestFit="1" customWidth="1"/>
    <col min="22" max="22" width="8.44140625" style="4" bestFit="1" customWidth="1"/>
    <col min="23" max="23" width="5.33203125" style="4" customWidth="1"/>
    <col min="24" max="24" width="6.109375" style="4" bestFit="1" customWidth="1"/>
    <col min="25" max="25" width="8.44140625" style="4" bestFit="1" customWidth="1"/>
    <col min="26" max="26" width="5.33203125" style="4" customWidth="1"/>
    <col min="27" max="27" width="6.109375" style="4" bestFit="1" customWidth="1"/>
    <col min="28" max="28" width="8.44140625" style="4" bestFit="1" customWidth="1"/>
    <col min="29" max="29" width="5.33203125" style="4" customWidth="1"/>
    <col min="30" max="30" width="6.109375" style="4" bestFit="1" customWidth="1"/>
    <col min="31" max="31" width="8.44140625" style="4" bestFit="1" customWidth="1"/>
    <col min="32" max="32" width="5.33203125" style="4" customWidth="1"/>
    <col min="33" max="16384" width="9.109375" style="4"/>
  </cols>
  <sheetData>
    <row r="1" spans="1:34" s="1" customFormat="1" x14ac:dyDescent="0.3"/>
    <row r="2" spans="1:34" s="1" customFormat="1" x14ac:dyDescent="0.3"/>
    <row r="3" spans="1:34" s="1" customFormat="1" x14ac:dyDescent="0.3"/>
    <row r="4" spans="1:34" s="2" customFormat="1" ht="20.25" customHeight="1" thickBot="1" x14ac:dyDescent="0.35"/>
    <row r="6" spans="1:34" ht="17.399999999999999" x14ac:dyDescent="0.3">
      <c r="A6" s="3" t="s">
        <v>2</v>
      </c>
      <c r="B6" s="3" t="s">
        <v>10</v>
      </c>
      <c r="C6" s="28"/>
      <c r="G6" s="47" t="s">
        <v>27</v>
      </c>
      <c r="H6" s="48"/>
      <c r="I6" s="27"/>
      <c r="J6" s="5"/>
      <c r="L6" s="45" t="s">
        <v>22</v>
      </c>
      <c r="M6" s="44"/>
      <c r="N6" s="6"/>
      <c r="O6" s="44" t="s">
        <v>23</v>
      </c>
      <c r="P6" s="44"/>
      <c r="Q6" s="6"/>
      <c r="R6" s="44" t="s">
        <v>24</v>
      </c>
      <c r="S6" s="44"/>
      <c r="T6" s="6"/>
      <c r="U6" s="44" t="s">
        <v>25</v>
      </c>
      <c r="V6" s="44"/>
      <c r="W6" s="6"/>
      <c r="X6" s="44" t="s">
        <v>65</v>
      </c>
      <c r="Y6" s="44"/>
      <c r="Z6" s="6"/>
      <c r="AA6" s="44" t="s">
        <v>66</v>
      </c>
      <c r="AB6" s="44"/>
      <c r="AC6" s="6"/>
      <c r="AD6" s="44" t="s">
        <v>26</v>
      </c>
      <c r="AE6" s="44"/>
      <c r="AF6" s="6"/>
      <c r="AG6" s="44" t="s">
        <v>67</v>
      </c>
      <c r="AH6" s="52"/>
    </row>
    <row r="7" spans="1:34" x14ac:dyDescent="0.3">
      <c r="A7" s="7" t="s">
        <v>0</v>
      </c>
      <c r="B7" s="8">
        <v>2.625</v>
      </c>
      <c r="C7" s="30"/>
      <c r="G7" s="9" t="s">
        <v>6</v>
      </c>
      <c r="H7" s="9" t="s">
        <v>1</v>
      </c>
      <c r="I7" s="27"/>
      <c r="J7" s="5"/>
      <c r="L7" s="10" t="s">
        <v>3</v>
      </c>
      <c r="M7" s="11" t="s">
        <v>4</v>
      </c>
      <c r="N7" s="11"/>
      <c r="O7" s="11" t="s">
        <v>3</v>
      </c>
      <c r="P7" s="11" t="s">
        <v>4</v>
      </c>
      <c r="Q7" s="11"/>
      <c r="R7" s="11" t="s">
        <v>3</v>
      </c>
      <c r="S7" s="11" t="s">
        <v>4</v>
      </c>
      <c r="T7" s="11"/>
      <c r="U7" s="11" t="s">
        <v>3</v>
      </c>
      <c r="V7" s="11" t="s">
        <v>4</v>
      </c>
      <c r="W7" s="11"/>
      <c r="X7" s="11" t="s">
        <v>3</v>
      </c>
      <c r="Y7" s="11" t="s">
        <v>4</v>
      </c>
      <c r="Z7" s="11"/>
      <c r="AA7" s="11" t="s">
        <v>3</v>
      </c>
      <c r="AB7" s="11" t="s">
        <v>4</v>
      </c>
      <c r="AC7" s="11"/>
      <c r="AD7" s="11" t="s">
        <v>3</v>
      </c>
      <c r="AE7" s="11" t="s">
        <v>4</v>
      </c>
      <c r="AF7" s="11"/>
      <c r="AG7" s="11" t="s">
        <v>3</v>
      </c>
      <c r="AH7" s="12" t="s">
        <v>4</v>
      </c>
    </row>
    <row r="8" spans="1:34" x14ac:dyDescent="0.3">
      <c r="A8" s="7" t="s">
        <v>1</v>
      </c>
      <c r="B8" s="8">
        <v>1.75</v>
      </c>
      <c r="C8" s="30"/>
      <c r="E8" s="46" t="s">
        <v>5</v>
      </c>
      <c r="F8" s="46"/>
      <c r="G8" s="13">
        <v>1</v>
      </c>
      <c r="H8" s="13">
        <v>1</v>
      </c>
      <c r="I8" s="27"/>
      <c r="J8" s="5"/>
      <c r="L8" s="7">
        <v>40</v>
      </c>
      <c r="M8" s="7">
        <v>690</v>
      </c>
      <c r="N8" s="7"/>
      <c r="O8" s="7">
        <v>40</v>
      </c>
      <c r="P8" s="7">
        <v>845</v>
      </c>
      <c r="Q8" s="7"/>
      <c r="R8" s="7">
        <v>40</v>
      </c>
      <c r="S8" s="7">
        <v>980</v>
      </c>
      <c r="T8" s="7"/>
      <c r="U8" s="7">
        <v>40</v>
      </c>
      <c r="V8" s="7">
        <v>1020</v>
      </c>
      <c r="W8" s="7"/>
      <c r="X8" s="7">
        <v>40</v>
      </c>
      <c r="Y8" s="7">
        <v>1275</v>
      </c>
      <c r="Z8" s="7"/>
      <c r="AA8" s="7">
        <v>43.5</v>
      </c>
      <c r="AB8" s="7">
        <v>1725</v>
      </c>
      <c r="AC8" s="7"/>
      <c r="AD8" s="7">
        <v>43.5</v>
      </c>
      <c r="AE8" s="7">
        <v>2225</v>
      </c>
      <c r="AF8" s="7"/>
      <c r="AG8" s="7">
        <v>43.5</v>
      </c>
      <c r="AH8" s="7">
        <v>2600</v>
      </c>
    </row>
    <row r="9" spans="1:34" x14ac:dyDescent="0.3">
      <c r="E9" s="46" t="s">
        <v>9</v>
      </c>
      <c r="F9" s="46"/>
      <c r="G9" s="14">
        <v>2600</v>
      </c>
      <c r="H9" s="14">
        <v>2600</v>
      </c>
      <c r="I9" s="27"/>
      <c r="J9" s="5"/>
      <c r="L9" s="15">
        <v>43.5</v>
      </c>
      <c r="M9" s="15">
        <v>715</v>
      </c>
      <c r="N9" s="5"/>
      <c r="O9" s="15">
        <v>43.5</v>
      </c>
      <c r="P9" s="15">
        <v>885</v>
      </c>
      <c r="Q9" s="5"/>
      <c r="R9" s="15">
        <v>43.5</v>
      </c>
      <c r="S9" s="15">
        <v>1015</v>
      </c>
      <c r="T9" s="5"/>
      <c r="U9" s="15">
        <v>43.5</v>
      </c>
      <c r="V9" s="15">
        <v>1065</v>
      </c>
      <c r="W9" s="5"/>
      <c r="X9" s="7">
        <v>43.5</v>
      </c>
      <c r="Y9" s="7">
        <v>1335</v>
      </c>
      <c r="Z9" s="5"/>
      <c r="AA9" s="15">
        <v>45</v>
      </c>
      <c r="AB9" s="15">
        <v>1760</v>
      </c>
      <c r="AC9" s="5"/>
      <c r="AD9" s="15">
        <v>45</v>
      </c>
      <c r="AE9" s="15">
        <v>2255</v>
      </c>
      <c r="AF9" s="5"/>
      <c r="AG9" s="15">
        <v>45</v>
      </c>
      <c r="AH9" s="15">
        <v>2640</v>
      </c>
    </row>
    <row r="10" spans="1:34" ht="15.6" x14ac:dyDescent="0.3">
      <c r="A10" s="49" t="s">
        <v>11</v>
      </c>
      <c r="B10" s="49"/>
      <c r="C10" s="28"/>
      <c r="E10" s="46" t="s">
        <v>8</v>
      </c>
      <c r="F10" s="46"/>
      <c r="G10" s="16">
        <f>G8*G9</f>
        <v>2600</v>
      </c>
      <c r="H10" s="16">
        <f>H8*H9</f>
        <v>2600</v>
      </c>
      <c r="I10" s="27"/>
      <c r="J10" s="5"/>
      <c r="L10" s="7">
        <v>45</v>
      </c>
      <c r="M10" s="7">
        <v>730</v>
      </c>
      <c r="N10" s="5"/>
      <c r="O10" s="7">
        <v>45</v>
      </c>
      <c r="P10" s="7">
        <v>905</v>
      </c>
      <c r="Q10" s="5"/>
      <c r="R10" s="7">
        <v>45</v>
      </c>
      <c r="S10" s="7">
        <v>1035</v>
      </c>
      <c r="T10" s="5"/>
      <c r="U10" s="7">
        <v>45</v>
      </c>
      <c r="V10" s="7">
        <v>1085</v>
      </c>
      <c r="W10" s="5"/>
      <c r="X10" s="15">
        <v>45</v>
      </c>
      <c r="Y10" s="15">
        <v>1360</v>
      </c>
      <c r="Z10" s="5"/>
      <c r="AA10" s="7">
        <v>50</v>
      </c>
      <c r="AB10" s="7">
        <v>1855</v>
      </c>
      <c r="AC10" s="5"/>
      <c r="AD10" s="7">
        <v>50</v>
      </c>
      <c r="AE10" s="7">
        <v>2365</v>
      </c>
      <c r="AF10" s="5"/>
      <c r="AG10" s="7">
        <v>50</v>
      </c>
      <c r="AH10" s="7">
        <v>2769</v>
      </c>
    </row>
    <row r="11" spans="1:34" x14ac:dyDescent="0.3">
      <c r="A11" s="7" t="s">
        <v>12</v>
      </c>
      <c r="B11" s="7" t="s">
        <v>13</v>
      </c>
      <c r="C11" s="28"/>
      <c r="E11" s="51" t="s">
        <v>7</v>
      </c>
      <c r="F11" s="51"/>
      <c r="G11" s="17">
        <f>((G10/B12)*B7)*60</f>
        <v>409.5</v>
      </c>
      <c r="H11" s="17">
        <f>((H10/B12)*B8)*60</f>
        <v>273</v>
      </c>
      <c r="I11" s="27"/>
      <c r="J11" s="5"/>
      <c r="L11" s="7">
        <v>50</v>
      </c>
      <c r="M11" s="7">
        <v>770</v>
      </c>
      <c r="N11" s="5"/>
      <c r="O11" s="7">
        <v>50</v>
      </c>
      <c r="P11" s="7">
        <v>955</v>
      </c>
      <c r="Q11" s="5"/>
      <c r="R11" s="7">
        <v>50</v>
      </c>
      <c r="S11" s="7">
        <v>1085</v>
      </c>
      <c r="T11" s="5"/>
      <c r="U11" s="7">
        <v>50</v>
      </c>
      <c r="V11" s="7">
        <v>1145</v>
      </c>
      <c r="W11" s="5"/>
      <c r="X11" s="7">
        <v>50</v>
      </c>
      <c r="Y11" s="7">
        <v>1440</v>
      </c>
      <c r="Z11" s="5"/>
      <c r="AA11" s="7">
        <v>55</v>
      </c>
      <c r="AB11" s="7">
        <v>1950</v>
      </c>
      <c r="AC11" s="5"/>
      <c r="AD11" s="7">
        <v>55</v>
      </c>
      <c r="AE11" s="7">
        <v>2470</v>
      </c>
      <c r="AF11" s="5"/>
      <c r="AG11" s="7">
        <v>55</v>
      </c>
      <c r="AH11" s="7">
        <v>2898</v>
      </c>
    </row>
    <row r="12" spans="1:34" x14ac:dyDescent="0.3">
      <c r="A12" s="7">
        <v>1</v>
      </c>
      <c r="B12" s="7">
        <v>1000</v>
      </c>
      <c r="C12" s="28"/>
      <c r="L12" s="7">
        <v>55</v>
      </c>
      <c r="M12" s="7">
        <v>810</v>
      </c>
      <c r="N12" s="5"/>
      <c r="O12" s="7">
        <v>55</v>
      </c>
      <c r="P12" s="7">
        <v>1005</v>
      </c>
      <c r="Q12" s="5"/>
      <c r="R12" s="7">
        <v>55</v>
      </c>
      <c r="S12" s="7">
        <v>1135</v>
      </c>
      <c r="T12" s="5"/>
      <c r="U12" s="7">
        <v>55</v>
      </c>
      <c r="V12" s="7">
        <v>1205</v>
      </c>
      <c r="W12" s="5"/>
      <c r="X12" s="7">
        <v>55</v>
      </c>
      <c r="Y12" s="7">
        <v>1520</v>
      </c>
      <c r="Z12" s="5"/>
      <c r="AA12" s="7">
        <v>60</v>
      </c>
      <c r="AB12" s="7">
        <v>2040</v>
      </c>
      <c r="AC12" s="5"/>
      <c r="AD12" s="7">
        <v>60</v>
      </c>
      <c r="AE12" s="7">
        <v>2575</v>
      </c>
      <c r="AF12" s="5"/>
      <c r="AG12" s="7">
        <v>60</v>
      </c>
      <c r="AH12" s="7">
        <v>3022</v>
      </c>
    </row>
    <row r="13" spans="1:34" x14ac:dyDescent="0.3">
      <c r="L13" s="7">
        <v>60</v>
      </c>
      <c r="M13" s="7">
        <v>850</v>
      </c>
      <c r="N13" s="5"/>
      <c r="O13" s="7">
        <v>60</v>
      </c>
      <c r="P13" s="7">
        <v>1050</v>
      </c>
      <c r="Q13" s="5"/>
      <c r="R13" s="7">
        <v>60</v>
      </c>
      <c r="S13" s="7">
        <v>1180</v>
      </c>
      <c r="T13" s="5"/>
      <c r="U13" s="7">
        <v>60</v>
      </c>
      <c r="V13" s="7">
        <v>1260</v>
      </c>
      <c r="W13" s="5"/>
      <c r="X13" s="7">
        <v>60</v>
      </c>
      <c r="Y13" s="7">
        <v>1590</v>
      </c>
      <c r="Z13" s="5"/>
      <c r="AA13" s="7">
        <v>65</v>
      </c>
      <c r="AB13" s="7">
        <v>2125</v>
      </c>
      <c r="AC13" s="5"/>
      <c r="AD13" s="7">
        <v>65</v>
      </c>
      <c r="AE13" s="7">
        <v>2680</v>
      </c>
      <c r="AF13" s="5"/>
      <c r="AG13" s="7">
        <v>65</v>
      </c>
      <c r="AH13" s="7">
        <v>3138</v>
      </c>
    </row>
    <row r="14" spans="1:34" ht="15.6" x14ac:dyDescent="0.3">
      <c r="A14" s="50" t="s">
        <v>14</v>
      </c>
      <c r="B14" s="50"/>
      <c r="C14" s="50"/>
      <c r="D14" s="50"/>
      <c r="E14" s="50"/>
      <c r="F14" s="50"/>
      <c r="G14" s="50"/>
      <c r="H14" s="50"/>
      <c r="I14" s="50"/>
      <c r="J14" s="50"/>
      <c r="L14" s="7">
        <v>65</v>
      </c>
      <c r="M14" s="7">
        <v>890</v>
      </c>
      <c r="N14" s="5"/>
      <c r="O14" s="7">
        <v>65</v>
      </c>
      <c r="P14" s="7">
        <v>1090</v>
      </c>
      <c r="Q14" s="5"/>
      <c r="R14" s="7">
        <v>65</v>
      </c>
      <c r="S14" s="7">
        <v>1225</v>
      </c>
      <c r="T14" s="5"/>
      <c r="U14" s="7">
        <v>65</v>
      </c>
      <c r="V14" s="7">
        <v>1305</v>
      </c>
      <c r="W14" s="5"/>
      <c r="X14" s="7">
        <v>65</v>
      </c>
      <c r="Y14" s="7">
        <v>1655</v>
      </c>
      <c r="Z14" s="5"/>
      <c r="AA14" s="7">
        <v>70</v>
      </c>
      <c r="AB14" s="7">
        <v>2205</v>
      </c>
      <c r="AC14" s="5"/>
      <c r="AD14" s="7">
        <v>70</v>
      </c>
      <c r="AE14" s="7">
        <v>2780</v>
      </c>
      <c r="AF14" s="5"/>
      <c r="AG14" s="7">
        <v>70</v>
      </c>
      <c r="AH14" s="7">
        <v>3255</v>
      </c>
    </row>
    <row r="15" spans="1:34" ht="15.6" x14ac:dyDescent="0.3">
      <c r="A15" s="50" t="s">
        <v>68</v>
      </c>
      <c r="B15" s="50"/>
      <c r="C15" s="50"/>
      <c r="D15" s="50"/>
      <c r="E15" s="50"/>
      <c r="F15" s="50"/>
      <c r="G15" s="50"/>
      <c r="H15" s="50"/>
      <c r="I15" s="50"/>
      <c r="J15" s="50"/>
      <c r="L15" s="7">
        <v>70</v>
      </c>
      <c r="M15" s="7">
        <v>925</v>
      </c>
      <c r="N15" s="5"/>
      <c r="O15" s="7">
        <v>70</v>
      </c>
      <c r="P15" s="7">
        <v>1130</v>
      </c>
      <c r="Q15" s="5"/>
      <c r="R15" s="7">
        <v>70</v>
      </c>
      <c r="S15" s="7">
        <v>1265</v>
      </c>
      <c r="T15" s="5"/>
      <c r="U15" s="7">
        <v>70</v>
      </c>
      <c r="V15" s="7">
        <v>1350</v>
      </c>
      <c r="W15" s="5"/>
      <c r="X15" s="7">
        <v>70</v>
      </c>
      <c r="Y15" s="7">
        <v>1715</v>
      </c>
      <c r="Z15" s="5"/>
      <c r="AA15" s="7">
        <v>75</v>
      </c>
      <c r="AB15" s="7">
        <v>2285</v>
      </c>
      <c r="AC15" s="5"/>
      <c r="AD15" s="7">
        <v>75</v>
      </c>
      <c r="AE15" s="7">
        <v>2875</v>
      </c>
      <c r="AF15" s="5"/>
      <c r="AG15" s="7">
        <v>75</v>
      </c>
      <c r="AH15" s="7">
        <v>3368</v>
      </c>
    </row>
    <row r="16" spans="1:34" x14ac:dyDescent="0.3">
      <c r="A16" s="29" t="s">
        <v>29</v>
      </c>
      <c r="B16" s="18" t="s">
        <v>15</v>
      </c>
      <c r="C16" s="18" t="s">
        <v>30</v>
      </c>
      <c r="D16" s="18" t="s">
        <v>34</v>
      </c>
      <c r="E16" s="18" t="s">
        <v>35</v>
      </c>
      <c r="F16" s="18" t="s">
        <v>36</v>
      </c>
      <c r="G16" s="18" t="s">
        <v>37</v>
      </c>
      <c r="H16" s="18" t="s">
        <v>38</v>
      </c>
      <c r="I16" s="18" t="s">
        <v>39</v>
      </c>
      <c r="J16" s="26" t="s">
        <v>28</v>
      </c>
      <c r="L16" s="7">
        <v>75</v>
      </c>
      <c r="M16" s="7">
        <v>960</v>
      </c>
      <c r="N16" s="5"/>
      <c r="O16" s="7">
        <v>75</v>
      </c>
      <c r="P16" s="7">
        <v>1170</v>
      </c>
      <c r="Q16" s="5"/>
      <c r="R16" s="7">
        <v>75</v>
      </c>
      <c r="S16" s="7">
        <v>1305</v>
      </c>
      <c r="T16" s="5"/>
      <c r="U16" s="7">
        <v>75</v>
      </c>
      <c r="V16" s="7">
        <v>1390</v>
      </c>
      <c r="W16" s="5"/>
      <c r="X16" s="7">
        <v>75</v>
      </c>
      <c r="Y16" s="7">
        <v>1770</v>
      </c>
      <c r="Z16" s="5"/>
      <c r="AA16" s="7">
        <v>80</v>
      </c>
      <c r="AB16" s="7">
        <v>2360</v>
      </c>
      <c r="AC16" s="5"/>
      <c r="AD16" s="7">
        <v>80</v>
      </c>
      <c r="AE16" s="7">
        <v>2970</v>
      </c>
      <c r="AF16" s="5"/>
      <c r="AG16" s="7">
        <v>80</v>
      </c>
      <c r="AH16" s="7">
        <v>3478</v>
      </c>
    </row>
    <row r="17" spans="1:34" x14ac:dyDescent="0.3">
      <c r="A17" s="19" t="s">
        <v>32</v>
      </c>
      <c r="B17" s="20" t="s">
        <v>33</v>
      </c>
      <c r="C17" s="37">
        <v>13.2</v>
      </c>
      <c r="D17" s="21">
        <f>5083*J17</f>
        <v>5083</v>
      </c>
      <c r="E17" s="21">
        <f>4433*J17</f>
        <v>4433</v>
      </c>
      <c r="F17" s="21">
        <f>3983*J17</f>
        <v>3983</v>
      </c>
      <c r="G17" s="21">
        <f>3433*J17</f>
        <v>3433</v>
      </c>
      <c r="H17" s="22">
        <f>2883*J17</f>
        <v>2883</v>
      </c>
      <c r="I17" s="22" t="s">
        <v>17</v>
      </c>
      <c r="J17" s="25">
        <v>1</v>
      </c>
      <c r="L17" s="7">
        <v>80</v>
      </c>
      <c r="M17" s="7">
        <v>990</v>
      </c>
      <c r="N17" s="5"/>
      <c r="O17" s="7">
        <v>80</v>
      </c>
      <c r="P17" s="7">
        <v>1205</v>
      </c>
      <c r="Q17" s="5"/>
      <c r="R17" s="7">
        <v>80</v>
      </c>
      <c r="S17" s="7">
        <v>1345</v>
      </c>
      <c r="T17" s="5"/>
      <c r="U17" s="7">
        <v>80</v>
      </c>
      <c r="V17" s="7">
        <v>1420</v>
      </c>
      <c r="W17" s="5"/>
      <c r="X17" s="7">
        <v>80</v>
      </c>
      <c r="Y17" s="7">
        <v>1820</v>
      </c>
      <c r="Z17" s="5"/>
      <c r="AA17" s="7">
        <v>85</v>
      </c>
      <c r="AB17" s="7">
        <v>2435</v>
      </c>
      <c r="AC17" s="5"/>
      <c r="AD17" s="7">
        <v>85</v>
      </c>
      <c r="AE17" s="7">
        <v>3055</v>
      </c>
      <c r="AF17" s="5"/>
      <c r="AG17" s="7">
        <v>85</v>
      </c>
      <c r="AH17" s="7">
        <v>3587</v>
      </c>
    </row>
    <row r="18" spans="1:34" x14ac:dyDescent="0.3">
      <c r="A18" s="19" t="s">
        <v>32</v>
      </c>
      <c r="B18" s="20" t="s">
        <v>40</v>
      </c>
      <c r="C18" s="37">
        <v>13.2</v>
      </c>
      <c r="D18" s="21">
        <f>5466*J18</f>
        <v>5466</v>
      </c>
      <c r="E18" s="21">
        <f>4833*J18</f>
        <v>4833</v>
      </c>
      <c r="F18" s="21">
        <f>4183*J18</f>
        <v>4183</v>
      </c>
      <c r="G18" s="21">
        <f>3533*J18</f>
        <v>3533</v>
      </c>
      <c r="H18" s="22">
        <f>2950*J18</f>
        <v>2950</v>
      </c>
      <c r="I18" s="22" t="s">
        <v>17</v>
      </c>
      <c r="J18" s="25">
        <v>1</v>
      </c>
      <c r="L18" s="7">
        <v>85</v>
      </c>
      <c r="M18" s="7">
        <v>1020</v>
      </c>
      <c r="N18" s="5"/>
      <c r="O18" s="7">
        <v>85</v>
      </c>
      <c r="P18" s="7">
        <v>1240</v>
      </c>
      <c r="Q18" s="5"/>
      <c r="R18" s="7">
        <v>85</v>
      </c>
      <c r="S18" s="7">
        <v>1390</v>
      </c>
      <c r="T18" s="5"/>
      <c r="U18" s="7">
        <v>85</v>
      </c>
      <c r="V18" s="7">
        <v>1455</v>
      </c>
      <c r="W18" s="5"/>
      <c r="X18" s="7">
        <v>85</v>
      </c>
      <c r="Y18" s="7">
        <v>1860</v>
      </c>
      <c r="Z18" s="5"/>
      <c r="AA18" s="7">
        <v>90</v>
      </c>
      <c r="AB18" s="7">
        <v>2505</v>
      </c>
      <c r="AC18" s="5"/>
      <c r="AD18" s="7">
        <v>90</v>
      </c>
      <c r="AE18" s="7">
        <v>3140</v>
      </c>
      <c r="AF18" s="5"/>
      <c r="AG18" s="7">
        <v>90</v>
      </c>
      <c r="AH18" s="7">
        <v>3671</v>
      </c>
    </row>
    <row r="19" spans="1:34" x14ac:dyDescent="0.3">
      <c r="A19" s="19" t="s">
        <v>32</v>
      </c>
      <c r="B19" s="20" t="s">
        <v>41</v>
      </c>
      <c r="C19" s="37">
        <v>13.2</v>
      </c>
      <c r="D19" s="21">
        <f>5583*J19</f>
        <v>5583</v>
      </c>
      <c r="E19" s="21">
        <f>5316*J19</f>
        <v>5316</v>
      </c>
      <c r="F19" s="21">
        <f>5066*J19</f>
        <v>5066</v>
      </c>
      <c r="G19" s="21">
        <f>4816*J19</f>
        <v>4816</v>
      </c>
      <c r="H19" s="22">
        <f>4516*J19</f>
        <v>4516</v>
      </c>
      <c r="I19" s="22" t="s">
        <v>17</v>
      </c>
      <c r="J19" s="25">
        <v>1</v>
      </c>
      <c r="L19" s="7">
        <v>90</v>
      </c>
      <c r="M19" s="7">
        <v>1050</v>
      </c>
      <c r="N19" s="5"/>
      <c r="O19" s="7">
        <v>90</v>
      </c>
      <c r="P19" s="7">
        <v>1275</v>
      </c>
      <c r="Q19" s="5"/>
      <c r="R19" s="7">
        <v>90</v>
      </c>
      <c r="S19" s="7">
        <v>1435</v>
      </c>
      <c r="T19" s="5"/>
      <c r="U19" s="7">
        <v>90</v>
      </c>
      <c r="V19" s="7">
        <v>1490</v>
      </c>
      <c r="W19" s="5"/>
      <c r="X19" s="7">
        <v>90</v>
      </c>
      <c r="Y19" s="7">
        <v>1895</v>
      </c>
      <c r="Z19" s="5"/>
      <c r="AA19" s="7">
        <v>95</v>
      </c>
      <c r="AB19" s="7">
        <v>2575</v>
      </c>
      <c r="AC19" s="5"/>
      <c r="AD19" s="7">
        <v>95</v>
      </c>
      <c r="AE19" s="7">
        <v>3225</v>
      </c>
      <c r="AF19" s="5"/>
      <c r="AG19" s="7">
        <v>95</v>
      </c>
      <c r="AH19" s="7">
        <v>3737</v>
      </c>
    </row>
    <row r="20" spans="1:34" x14ac:dyDescent="0.3">
      <c r="A20" s="19" t="s">
        <v>32</v>
      </c>
      <c r="B20" s="20" t="s">
        <v>42</v>
      </c>
      <c r="C20" s="37">
        <v>13.2</v>
      </c>
      <c r="D20" s="21">
        <f>5183*J20</f>
        <v>5183</v>
      </c>
      <c r="E20" s="21">
        <f>4633*J20</f>
        <v>4633</v>
      </c>
      <c r="F20" s="21">
        <f>4200*J20</f>
        <v>4200</v>
      </c>
      <c r="G20" s="21">
        <f>3733*J20</f>
        <v>3733</v>
      </c>
      <c r="H20" s="22">
        <f>3300*J20</f>
        <v>3300</v>
      </c>
      <c r="I20" s="22" t="s">
        <v>17</v>
      </c>
      <c r="J20" s="25">
        <v>1</v>
      </c>
      <c r="L20" s="7">
        <v>95</v>
      </c>
      <c r="M20" s="7">
        <v>1080</v>
      </c>
      <c r="N20" s="5"/>
      <c r="O20" s="7">
        <v>95</v>
      </c>
      <c r="P20" s="7">
        <v>1310</v>
      </c>
      <c r="Q20" s="5"/>
      <c r="R20" s="7">
        <v>95</v>
      </c>
      <c r="S20" s="7">
        <v>1485</v>
      </c>
      <c r="T20" s="5"/>
      <c r="U20" s="7">
        <v>95</v>
      </c>
      <c r="V20" s="7">
        <v>1530</v>
      </c>
      <c r="W20" s="5"/>
      <c r="X20" s="7">
        <v>95</v>
      </c>
      <c r="Y20" s="7">
        <v>1925</v>
      </c>
      <c r="Z20" s="5"/>
      <c r="AA20" s="7">
        <v>100</v>
      </c>
      <c r="AB20" s="7">
        <v>2640</v>
      </c>
      <c r="AC20" s="5"/>
      <c r="AD20" s="7">
        <v>100</v>
      </c>
      <c r="AE20" s="7">
        <v>3300</v>
      </c>
      <c r="AF20" s="5"/>
      <c r="AG20" s="7">
        <v>100</v>
      </c>
      <c r="AH20" s="7">
        <v>3803</v>
      </c>
    </row>
    <row r="21" spans="1:34" x14ac:dyDescent="0.3">
      <c r="A21" s="19" t="s">
        <v>32</v>
      </c>
      <c r="B21" s="20" t="s">
        <v>43</v>
      </c>
      <c r="C21" s="37">
        <v>13.2</v>
      </c>
      <c r="D21" s="21">
        <f>5166*J21</f>
        <v>5166</v>
      </c>
      <c r="E21" s="21">
        <f>4566*J21</f>
        <v>4566</v>
      </c>
      <c r="F21" s="21">
        <f>3883*J21</f>
        <v>3883</v>
      </c>
      <c r="G21" s="21">
        <f>3133*J21</f>
        <v>3133</v>
      </c>
      <c r="H21" s="22">
        <f>2433*J21</f>
        <v>2433</v>
      </c>
      <c r="I21" s="22" t="s">
        <v>17</v>
      </c>
      <c r="J21" s="25">
        <v>1</v>
      </c>
      <c r="L21" s="7">
        <v>100</v>
      </c>
      <c r="M21" s="7">
        <v>1110</v>
      </c>
      <c r="N21" s="5"/>
      <c r="O21" s="7">
        <v>100</v>
      </c>
      <c r="P21" s="7">
        <v>1350</v>
      </c>
      <c r="Q21" s="5"/>
      <c r="R21" s="7">
        <v>100</v>
      </c>
      <c r="S21" s="7">
        <v>1530</v>
      </c>
      <c r="T21" s="5"/>
      <c r="U21" s="7">
        <v>100</v>
      </c>
      <c r="V21" s="7">
        <v>1565</v>
      </c>
      <c r="W21" s="5"/>
      <c r="X21" s="7">
        <v>100</v>
      </c>
      <c r="Y21" s="7">
        <v>1950</v>
      </c>
      <c r="Z21" s="5"/>
      <c r="AA21" s="5"/>
      <c r="AB21" s="5"/>
      <c r="AC21" s="5"/>
      <c r="AD21" s="7">
        <v>105</v>
      </c>
      <c r="AE21" s="7">
        <v>3375</v>
      </c>
      <c r="AF21" s="5"/>
      <c r="AG21" s="7">
        <v>105</v>
      </c>
      <c r="AH21" s="7">
        <v>3905</v>
      </c>
    </row>
    <row r="22" spans="1:34" x14ac:dyDescent="0.3">
      <c r="A22" s="19" t="s">
        <v>32</v>
      </c>
      <c r="B22" s="20" t="s">
        <v>46</v>
      </c>
      <c r="C22" s="37">
        <v>13.2</v>
      </c>
      <c r="D22" s="21">
        <f>6666*J22</f>
        <v>6666</v>
      </c>
      <c r="E22" s="21">
        <f>5933*J22</f>
        <v>5933</v>
      </c>
      <c r="F22" s="21">
        <f>5266*J22</f>
        <v>5266</v>
      </c>
      <c r="G22" s="21">
        <f>4500*J22</f>
        <v>4500</v>
      </c>
      <c r="H22" s="22">
        <f>3033*J22</f>
        <v>3033</v>
      </c>
      <c r="I22" s="22" t="s">
        <v>17</v>
      </c>
      <c r="J22" s="25">
        <v>1</v>
      </c>
      <c r="L22" s="7">
        <v>105</v>
      </c>
      <c r="M22" s="7">
        <v>1140</v>
      </c>
      <c r="N22" s="5"/>
      <c r="O22" s="5"/>
      <c r="P22" s="5"/>
      <c r="Q22" s="5"/>
      <c r="R22" s="5"/>
      <c r="S22" s="5"/>
      <c r="T22" s="5"/>
      <c r="U22" s="5"/>
      <c r="V22" s="5"/>
      <c r="W22" s="5"/>
      <c r="X22" s="5"/>
      <c r="Y22" s="5"/>
      <c r="Z22" s="5"/>
      <c r="AA22" s="5"/>
      <c r="AB22" s="5"/>
      <c r="AC22" s="5"/>
      <c r="AD22" s="7">
        <v>110</v>
      </c>
      <c r="AE22" s="7">
        <v>3445</v>
      </c>
      <c r="AF22" s="5"/>
      <c r="AG22" s="7">
        <v>110</v>
      </c>
      <c r="AH22" s="7">
        <v>3974</v>
      </c>
    </row>
    <row r="23" spans="1:34" x14ac:dyDescent="0.3">
      <c r="A23" s="19" t="s">
        <v>32</v>
      </c>
      <c r="B23" s="20" t="s">
        <v>44</v>
      </c>
      <c r="C23" s="37">
        <v>13.2</v>
      </c>
      <c r="D23" s="21">
        <f>6666*J23</f>
        <v>6666</v>
      </c>
      <c r="E23" s="21">
        <f>5933*J23</f>
        <v>5933</v>
      </c>
      <c r="F23" s="21">
        <f>5266*J23</f>
        <v>5266</v>
      </c>
      <c r="G23" s="21">
        <f>4500*J23</f>
        <v>4500</v>
      </c>
      <c r="H23" s="22">
        <f>3933*J23</f>
        <v>3933</v>
      </c>
      <c r="I23" s="22" t="s">
        <v>17</v>
      </c>
      <c r="J23" s="25">
        <v>1</v>
      </c>
      <c r="L23" s="7">
        <v>110</v>
      </c>
      <c r="M23" s="7">
        <v>1170</v>
      </c>
      <c r="N23" s="5"/>
      <c r="O23" s="5"/>
      <c r="P23" s="5"/>
      <c r="Q23" s="5"/>
      <c r="R23" s="5"/>
      <c r="S23" s="5"/>
      <c r="T23" s="5"/>
      <c r="U23" s="5"/>
      <c r="V23" s="5"/>
      <c r="W23" s="5"/>
      <c r="X23" s="5"/>
      <c r="Y23" s="5"/>
      <c r="Z23" s="5"/>
      <c r="AA23" s="5"/>
      <c r="AB23" s="5"/>
      <c r="AC23" s="5"/>
      <c r="AD23" s="7">
        <v>115</v>
      </c>
      <c r="AE23" s="7">
        <v>3515</v>
      </c>
      <c r="AF23" s="5"/>
      <c r="AG23" s="7">
        <v>115</v>
      </c>
      <c r="AH23" s="7">
        <v>4037</v>
      </c>
    </row>
    <row r="24" spans="1:34" x14ac:dyDescent="0.3">
      <c r="A24" s="19" t="s">
        <v>32</v>
      </c>
      <c r="B24" s="20" t="s">
        <v>45</v>
      </c>
      <c r="C24" s="37">
        <v>13.2</v>
      </c>
      <c r="D24" s="21">
        <f>7533*J24</f>
        <v>7533</v>
      </c>
      <c r="E24" s="21">
        <f>6983*J24</f>
        <v>6983</v>
      </c>
      <c r="F24" s="21">
        <f>6316*J24</f>
        <v>6316</v>
      </c>
      <c r="G24" s="21">
        <f>5766*J24</f>
        <v>5766</v>
      </c>
      <c r="H24" s="22">
        <f>5150*J24</f>
        <v>5150</v>
      </c>
      <c r="I24" s="22" t="s">
        <v>17</v>
      </c>
      <c r="J24" s="25">
        <v>1</v>
      </c>
      <c r="L24" s="7">
        <v>115</v>
      </c>
      <c r="M24" s="7">
        <v>1200</v>
      </c>
      <c r="N24" s="5"/>
      <c r="O24" s="5"/>
      <c r="P24" s="5"/>
      <c r="Q24" s="5"/>
      <c r="R24" s="5"/>
      <c r="S24" s="5"/>
      <c r="T24" s="5"/>
      <c r="U24" s="5"/>
      <c r="V24" s="5"/>
      <c r="W24" s="5"/>
      <c r="X24" s="5"/>
      <c r="Y24" s="5"/>
      <c r="Z24" s="5"/>
      <c r="AA24" s="5"/>
      <c r="AB24" s="5"/>
      <c r="AC24" s="5"/>
      <c r="AD24" s="7">
        <v>120</v>
      </c>
      <c r="AE24" s="7">
        <v>3580</v>
      </c>
      <c r="AF24" s="5"/>
      <c r="AG24" s="7">
        <v>120</v>
      </c>
      <c r="AH24" s="7">
        <v>4095</v>
      </c>
    </row>
    <row r="25" spans="1:34" s="35" customFormat="1" x14ac:dyDescent="0.3">
      <c r="A25" s="19" t="s">
        <v>31</v>
      </c>
      <c r="B25" s="20" t="s">
        <v>48</v>
      </c>
      <c r="C25" s="37">
        <v>13.54</v>
      </c>
      <c r="D25" s="21">
        <f>8083*J25</f>
        <v>8083</v>
      </c>
      <c r="E25" s="21">
        <f>7500*J25</f>
        <v>7500</v>
      </c>
      <c r="F25" s="21">
        <f>6750*J25</f>
        <v>6750</v>
      </c>
      <c r="G25" s="21">
        <f>5916*J25</f>
        <v>5916</v>
      </c>
      <c r="H25" s="22">
        <f>5333*J25</f>
        <v>5333</v>
      </c>
      <c r="I25" s="22" t="s">
        <v>17</v>
      </c>
      <c r="J25" s="25">
        <v>1</v>
      </c>
      <c r="L25" s="7">
        <v>120</v>
      </c>
      <c r="M25" s="7">
        <v>1235</v>
      </c>
      <c r="N25" s="36"/>
      <c r="O25" s="36"/>
      <c r="P25" s="36"/>
      <c r="Q25" s="36"/>
      <c r="R25" s="36"/>
      <c r="S25" s="36"/>
      <c r="T25" s="36"/>
      <c r="U25" s="36"/>
      <c r="V25" s="36"/>
      <c r="W25" s="36"/>
      <c r="X25" s="36"/>
      <c r="Y25" s="36"/>
      <c r="Z25" s="36"/>
      <c r="AA25" s="36"/>
      <c r="AB25" s="36"/>
      <c r="AC25" s="36"/>
      <c r="AD25" s="7">
        <v>125</v>
      </c>
      <c r="AE25" s="7">
        <v>3645</v>
      </c>
      <c r="AF25" s="5"/>
      <c r="AG25" s="7">
        <v>125</v>
      </c>
      <c r="AH25" s="7">
        <v>4146</v>
      </c>
    </row>
    <row r="26" spans="1:34" s="35" customFormat="1" x14ac:dyDescent="0.3">
      <c r="A26" s="19" t="s">
        <v>31</v>
      </c>
      <c r="B26" s="20" t="s">
        <v>50</v>
      </c>
      <c r="C26" s="37">
        <v>13.54</v>
      </c>
      <c r="D26" s="21">
        <f>9616*J26</f>
        <v>9616</v>
      </c>
      <c r="E26" s="21">
        <f>9133*J26</f>
        <v>9133</v>
      </c>
      <c r="F26" s="21">
        <f>8666*J26</f>
        <v>8666</v>
      </c>
      <c r="G26" s="21">
        <f>7950*J26</f>
        <v>7950</v>
      </c>
      <c r="H26" s="22">
        <f>7466*J26</f>
        <v>7466</v>
      </c>
      <c r="I26" s="22" t="s">
        <v>17</v>
      </c>
      <c r="J26" s="25">
        <v>1</v>
      </c>
      <c r="L26" s="4"/>
      <c r="M26" s="4"/>
      <c r="N26" s="36"/>
      <c r="O26" s="36"/>
      <c r="P26" s="36"/>
      <c r="Q26" s="36"/>
      <c r="R26" s="36"/>
      <c r="S26" s="36"/>
      <c r="T26" s="36"/>
      <c r="U26" s="36"/>
      <c r="V26" s="36"/>
      <c r="W26" s="36"/>
      <c r="X26" s="36"/>
      <c r="Y26" s="36"/>
      <c r="Z26" s="36"/>
      <c r="AA26" s="36"/>
      <c r="AB26" s="36"/>
      <c r="AC26" s="36"/>
      <c r="AD26" s="7">
        <v>130</v>
      </c>
      <c r="AE26" s="7">
        <v>3710</v>
      </c>
      <c r="AF26" s="5"/>
      <c r="AG26" s="7">
        <v>130</v>
      </c>
      <c r="AH26" s="7">
        <v>4192</v>
      </c>
    </row>
    <row r="27" spans="1:34" s="31" customFormat="1" x14ac:dyDescent="0.3">
      <c r="A27" s="19" t="s">
        <v>31</v>
      </c>
      <c r="B27" s="20" t="s">
        <v>49</v>
      </c>
      <c r="C27" s="37">
        <v>13.54</v>
      </c>
      <c r="D27" s="21">
        <f>6733*J27</f>
        <v>6733</v>
      </c>
      <c r="E27" s="21">
        <f>6283*J27</f>
        <v>6283</v>
      </c>
      <c r="F27" s="21">
        <f>5833*J27</f>
        <v>5833</v>
      </c>
      <c r="G27" s="21">
        <f>5383*J27</f>
        <v>5383</v>
      </c>
      <c r="H27" s="22">
        <f>4916*J27</f>
        <v>4916</v>
      </c>
      <c r="I27" s="22" t="s">
        <v>17</v>
      </c>
      <c r="J27" s="25">
        <v>1</v>
      </c>
      <c r="L27" s="4"/>
      <c r="M27" s="4"/>
      <c r="N27" s="32"/>
      <c r="O27" s="32"/>
      <c r="P27" s="32"/>
      <c r="Q27" s="32"/>
      <c r="R27" s="32"/>
      <c r="S27" s="32"/>
      <c r="T27" s="32"/>
      <c r="U27" s="32"/>
      <c r="V27" s="32"/>
      <c r="W27" s="32"/>
      <c r="X27" s="32"/>
      <c r="Y27" s="32"/>
      <c r="Z27" s="32"/>
      <c r="AA27" s="32"/>
      <c r="AB27" s="32"/>
      <c r="AC27" s="32"/>
      <c r="AD27" s="4"/>
      <c r="AE27" s="4"/>
      <c r="AF27" s="4"/>
      <c r="AG27" s="4"/>
      <c r="AH27" s="4"/>
    </row>
    <row r="28" spans="1:34" x14ac:dyDescent="0.3">
      <c r="A28" s="19" t="s">
        <v>32</v>
      </c>
      <c r="B28" s="20" t="s">
        <v>16</v>
      </c>
      <c r="C28" s="37">
        <v>13.2</v>
      </c>
      <c r="D28" s="21">
        <f>4883*J28</f>
        <v>4883</v>
      </c>
      <c r="E28" s="21">
        <f>4666*J28</f>
        <v>4666</v>
      </c>
      <c r="F28" s="21">
        <f>4466*J28</f>
        <v>4466</v>
      </c>
      <c r="G28" s="21">
        <f>4216*J28</f>
        <v>4216</v>
      </c>
      <c r="H28" s="22">
        <f>3866*J28</f>
        <v>3866</v>
      </c>
      <c r="I28" s="22" t="s">
        <v>17</v>
      </c>
      <c r="J28" s="25">
        <v>1</v>
      </c>
      <c r="N28" s="5"/>
      <c r="O28" s="5"/>
      <c r="P28" s="5"/>
      <c r="Q28" s="5"/>
      <c r="R28" s="5"/>
      <c r="S28" s="5"/>
      <c r="T28" s="5"/>
      <c r="U28" s="5"/>
      <c r="V28" s="5"/>
      <c r="W28" s="5"/>
      <c r="X28" s="5"/>
      <c r="Y28" s="5"/>
      <c r="Z28" s="5"/>
      <c r="AA28" s="5"/>
      <c r="AB28" s="5"/>
      <c r="AC28" s="5"/>
    </row>
    <row r="29" spans="1:34" x14ac:dyDescent="0.3">
      <c r="A29" s="19" t="s">
        <v>51</v>
      </c>
      <c r="B29" s="20" t="s">
        <v>18</v>
      </c>
      <c r="C29" s="37">
        <v>14</v>
      </c>
      <c r="D29" s="21">
        <f>8201*J29</f>
        <v>8201</v>
      </c>
      <c r="E29" s="21">
        <f>7886*J29</f>
        <v>7886</v>
      </c>
      <c r="F29" s="21">
        <f>7633*J29</f>
        <v>7633</v>
      </c>
      <c r="G29" s="21">
        <f>7381*J29</f>
        <v>7381</v>
      </c>
      <c r="H29" s="21">
        <f>7192*J29</f>
        <v>7192</v>
      </c>
      <c r="I29" s="21">
        <f>6813*J29</f>
        <v>6813</v>
      </c>
      <c r="J29" s="25">
        <v>1</v>
      </c>
      <c r="N29" s="5"/>
      <c r="O29" s="5"/>
      <c r="P29" s="5"/>
      <c r="Q29" s="5"/>
      <c r="R29" s="5"/>
      <c r="S29" s="5"/>
      <c r="T29" s="5"/>
      <c r="U29" s="5"/>
      <c r="V29" s="5"/>
      <c r="W29" s="5"/>
      <c r="X29" s="5"/>
      <c r="Y29" s="5"/>
      <c r="Z29" s="5"/>
      <c r="AA29" s="5"/>
      <c r="AB29" s="5"/>
      <c r="AC29" s="5"/>
      <c r="AF29" s="5"/>
      <c r="AG29" s="28"/>
      <c r="AH29" s="28"/>
    </row>
    <row r="30" spans="1:34" x14ac:dyDescent="0.3">
      <c r="A30" s="19" t="s">
        <v>51</v>
      </c>
      <c r="B30" s="20" t="s">
        <v>19</v>
      </c>
      <c r="C30" s="37">
        <v>14</v>
      </c>
      <c r="D30" s="21">
        <f>10409*J30</f>
        <v>10409</v>
      </c>
      <c r="E30" s="21">
        <f>9968*J30</f>
        <v>9968</v>
      </c>
      <c r="F30" s="21">
        <f>9526*J30</f>
        <v>9526</v>
      </c>
      <c r="G30" s="21">
        <f>9130*J30</f>
        <v>9130</v>
      </c>
      <c r="H30" s="22" t="s">
        <v>17</v>
      </c>
      <c r="I30" s="22" t="s">
        <v>17</v>
      </c>
      <c r="J30" s="25">
        <v>1</v>
      </c>
    </row>
    <row r="31" spans="1:34" x14ac:dyDescent="0.3">
      <c r="A31" s="19" t="s">
        <v>51</v>
      </c>
      <c r="B31" s="20" t="s">
        <v>20</v>
      </c>
      <c r="C31" s="37">
        <v>14</v>
      </c>
      <c r="D31" s="21">
        <f>12933*J31</f>
        <v>12933</v>
      </c>
      <c r="E31" s="21">
        <f>12618*J31</f>
        <v>12618</v>
      </c>
      <c r="F31" s="21">
        <f>11987*J31</f>
        <v>11987</v>
      </c>
      <c r="G31" s="21">
        <f>11356*J31</f>
        <v>11356</v>
      </c>
      <c r="H31" s="22" t="s">
        <v>17</v>
      </c>
      <c r="I31" s="22" t="s">
        <v>17</v>
      </c>
      <c r="J31" s="25">
        <v>1</v>
      </c>
    </row>
    <row r="32" spans="1:34" x14ac:dyDescent="0.3">
      <c r="A32" s="19" t="s">
        <v>51</v>
      </c>
      <c r="B32" s="20" t="s">
        <v>21</v>
      </c>
      <c r="C32" s="37">
        <v>14</v>
      </c>
      <c r="D32" s="21">
        <f>14510*J32</f>
        <v>14510</v>
      </c>
      <c r="E32" s="21">
        <f>13690*J32</f>
        <v>13690</v>
      </c>
      <c r="F32" s="21">
        <f>13122*J32</f>
        <v>13122</v>
      </c>
      <c r="G32" s="21">
        <f>11671*J32</f>
        <v>11671</v>
      </c>
      <c r="H32" s="22" t="s">
        <v>17</v>
      </c>
      <c r="I32" s="22" t="s">
        <v>17</v>
      </c>
      <c r="J32" s="25">
        <v>1</v>
      </c>
    </row>
    <row r="33" spans="1:16" x14ac:dyDescent="0.3">
      <c r="A33" s="19" t="s">
        <v>52</v>
      </c>
      <c r="B33" s="20" t="s">
        <v>53</v>
      </c>
      <c r="C33" s="37">
        <v>13.5</v>
      </c>
      <c r="D33" s="21">
        <f>9133*J33</f>
        <v>9133</v>
      </c>
      <c r="E33" s="21">
        <f>8633*J33</f>
        <v>8633</v>
      </c>
      <c r="F33" s="21">
        <f>8200*J33</f>
        <v>8200</v>
      </c>
      <c r="G33" s="21">
        <f>7800*J33</f>
        <v>7800</v>
      </c>
      <c r="H33" s="21">
        <f>7275*J33</f>
        <v>7275</v>
      </c>
      <c r="I33" s="21">
        <f>6800*J33</f>
        <v>6800</v>
      </c>
      <c r="J33" s="25">
        <v>1</v>
      </c>
    </row>
    <row r="34" spans="1:16" x14ac:dyDescent="0.3">
      <c r="A34" s="19" t="s">
        <v>52</v>
      </c>
      <c r="B34" s="20" t="s">
        <v>54</v>
      </c>
      <c r="C34" s="37" t="s">
        <v>47</v>
      </c>
      <c r="D34" s="21">
        <f>19166*J34</f>
        <v>19166</v>
      </c>
      <c r="E34" s="21">
        <f>19166*J34</f>
        <v>19166</v>
      </c>
      <c r="F34" s="21">
        <f>19166*J34</f>
        <v>19166</v>
      </c>
      <c r="G34" s="21">
        <f>19166*J34</f>
        <v>19166</v>
      </c>
      <c r="H34" s="21">
        <f>19166*J34</f>
        <v>19166</v>
      </c>
      <c r="I34" s="21">
        <f>19166*J34</f>
        <v>19166</v>
      </c>
      <c r="J34" s="25">
        <v>1</v>
      </c>
    </row>
    <row r="35" spans="1:16" x14ac:dyDescent="0.3">
      <c r="A35" s="53" t="s">
        <v>64</v>
      </c>
      <c r="B35" s="53"/>
      <c r="C35" s="53"/>
      <c r="D35" s="53"/>
      <c r="E35" s="53"/>
      <c r="F35" s="53"/>
      <c r="G35" s="53"/>
      <c r="H35" s="53"/>
      <c r="I35" s="53"/>
      <c r="J35" s="53"/>
    </row>
    <row r="36" spans="1:16" x14ac:dyDescent="0.3">
      <c r="C36" s="34"/>
    </row>
    <row r="37" spans="1:16" ht="15.6" x14ac:dyDescent="0.3">
      <c r="A37" s="42" t="s">
        <v>55</v>
      </c>
      <c r="B37" s="42"/>
      <c r="C37" s="42"/>
      <c r="D37" s="42"/>
      <c r="E37" s="42"/>
      <c r="F37" s="42"/>
      <c r="G37" s="42"/>
      <c r="H37" s="42"/>
      <c r="I37" s="42"/>
      <c r="J37" s="42"/>
      <c r="K37" s="42"/>
      <c r="L37" s="42"/>
      <c r="M37" s="42"/>
    </row>
    <row r="38" spans="1:16" ht="15.6" x14ac:dyDescent="0.3">
      <c r="A38" s="40"/>
      <c r="B38" s="40"/>
      <c r="C38" s="40"/>
      <c r="D38" s="40"/>
      <c r="E38" s="40"/>
      <c r="F38" s="40"/>
      <c r="G38" s="40"/>
      <c r="H38" s="40"/>
      <c r="I38" s="40"/>
      <c r="J38" s="40"/>
      <c r="K38" s="40"/>
      <c r="L38" s="40"/>
      <c r="M38" s="40"/>
    </row>
    <row r="39" spans="1:16" x14ac:dyDescent="0.3">
      <c r="A39" s="41" t="s">
        <v>62</v>
      </c>
      <c r="B39" s="41"/>
      <c r="C39" s="41"/>
      <c r="D39" s="41"/>
      <c r="E39" s="41"/>
      <c r="F39" s="41"/>
      <c r="G39" s="41"/>
      <c r="H39" s="41"/>
      <c r="I39" s="41"/>
      <c r="J39" s="41"/>
      <c r="K39" s="41"/>
      <c r="L39" s="41"/>
      <c r="M39" s="41"/>
      <c r="N39" s="41"/>
      <c r="O39" s="41"/>
      <c r="P39" s="41"/>
    </row>
    <row r="40" spans="1:16" x14ac:dyDescent="0.3">
      <c r="A40" s="43" t="s">
        <v>63</v>
      </c>
      <c r="B40" s="43"/>
      <c r="C40" s="43"/>
      <c r="D40" s="43"/>
      <c r="E40" s="43"/>
      <c r="F40" s="43"/>
      <c r="G40" s="43"/>
      <c r="H40" s="43"/>
      <c r="I40" s="43"/>
      <c r="J40" s="43"/>
      <c r="K40" s="43"/>
      <c r="L40" s="43"/>
      <c r="M40" s="43"/>
      <c r="N40" s="43"/>
      <c r="O40" s="43"/>
      <c r="P40" s="43"/>
    </row>
    <row r="41" spans="1:16" x14ac:dyDescent="0.3">
      <c r="C41" s="34"/>
    </row>
    <row r="42" spans="1:16" x14ac:dyDescent="0.3">
      <c r="A42" s="38"/>
      <c r="B42" s="38"/>
      <c r="C42" s="33"/>
      <c r="D42" s="38"/>
      <c r="E42" s="38"/>
      <c r="F42" s="38"/>
      <c r="G42" s="38"/>
    </row>
    <row r="43" spans="1:16" x14ac:dyDescent="0.3">
      <c r="A43" s="38" t="s">
        <v>56</v>
      </c>
      <c r="B43" s="38" t="s">
        <v>58</v>
      </c>
      <c r="C43" s="33"/>
      <c r="D43" s="38"/>
      <c r="E43" s="38"/>
      <c r="F43" s="38"/>
      <c r="G43" s="38"/>
    </row>
    <row r="44" spans="1:16" x14ac:dyDescent="0.3">
      <c r="A44" s="38"/>
      <c r="B44" s="38"/>
      <c r="C44" s="33"/>
      <c r="D44" s="38"/>
      <c r="E44" s="38"/>
      <c r="F44" s="38"/>
      <c r="G44" s="38"/>
    </row>
    <row r="45" spans="1:16" x14ac:dyDescent="0.3">
      <c r="A45" s="38" t="s">
        <v>57</v>
      </c>
      <c r="B45" s="38" t="s">
        <v>59</v>
      </c>
      <c r="C45" s="33"/>
      <c r="D45" s="38"/>
      <c r="E45" s="38"/>
      <c r="F45" s="38"/>
      <c r="G45" s="38"/>
    </row>
    <row r="46" spans="1:16" x14ac:dyDescent="0.3">
      <c r="A46" s="38"/>
      <c r="B46" s="38"/>
      <c r="C46" s="33"/>
      <c r="D46" s="38"/>
      <c r="E46" s="38"/>
      <c r="F46" s="38"/>
      <c r="G46" s="38"/>
    </row>
    <row r="47" spans="1:16" x14ac:dyDescent="0.3">
      <c r="A47" s="39" t="s">
        <v>56</v>
      </c>
      <c r="B47" s="39" t="s">
        <v>60</v>
      </c>
      <c r="C47" s="39"/>
      <c r="D47" s="38"/>
      <c r="E47" s="38"/>
      <c r="F47" s="38"/>
      <c r="G47" s="38"/>
      <c r="H47" s="24"/>
      <c r="I47" s="24"/>
      <c r="J47" s="23"/>
    </row>
    <row r="48" spans="1:16" x14ac:dyDescent="0.3">
      <c r="A48" s="39"/>
      <c r="B48" s="39"/>
      <c r="C48" s="39"/>
      <c r="D48" s="38"/>
      <c r="E48" s="38"/>
      <c r="F48" s="38"/>
      <c r="G48" s="38"/>
      <c r="H48" s="24"/>
      <c r="I48" s="24"/>
      <c r="J48" s="23"/>
    </row>
    <row r="49" spans="1:7" x14ac:dyDescent="0.3">
      <c r="A49" s="38" t="s">
        <v>57</v>
      </c>
      <c r="B49" s="38" t="s">
        <v>61</v>
      </c>
      <c r="C49" s="38"/>
      <c r="D49" s="38"/>
      <c r="E49" s="38"/>
      <c r="F49" s="38"/>
      <c r="G49" s="38"/>
    </row>
  </sheetData>
  <mergeCells count="19">
    <mergeCell ref="AG6:AH6"/>
    <mergeCell ref="X6:Y6"/>
    <mergeCell ref="AA6:AB6"/>
    <mergeCell ref="A35:J35"/>
    <mergeCell ref="A37:M37"/>
    <mergeCell ref="A40:P40"/>
    <mergeCell ref="AD6:AE6"/>
    <mergeCell ref="L6:M6"/>
    <mergeCell ref="O6:P6"/>
    <mergeCell ref="R6:S6"/>
    <mergeCell ref="U6:V6"/>
    <mergeCell ref="E8:F8"/>
    <mergeCell ref="G6:H6"/>
    <mergeCell ref="A10:B10"/>
    <mergeCell ref="A14:J14"/>
    <mergeCell ref="A15:J15"/>
    <mergeCell ref="E9:F9"/>
    <mergeCell ref="E11:F11"/>
    <mergeCell ref="E10:F10"/>
  </mergeCells>
  <pageMargins left="0.7" right="0.7" top="0.75" bottom="0.75" header="0.3" footer="0.3"/>
  <pageSetup orientation="portrait" r:id="rId1"/>
  <ignoredErrors>
    <ignoredError sqref="D25:H2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dc:creator>
  <cp:lastModifiedBy>Tony home</cp:lastModifiedBy>
  <dcterms:created xsi:type="dcterms:W3CDTF">2017-06-08T21:53:12Z</dcterms:created>
  <dcterms:modified xsi:type="dcterms:W3CDTF">2019-11-21T02:51:26Z</dcterms:modified>
</cp:coreProperties>
</file>