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Math'!$D$8:$I$8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<sst xmlns="http://schemas.openxmlformats.org/spreadsheetml/2006/main" count="70" uniqueCount="48">
  <si>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</si>
  <si>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</si>
  <si>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</si>
  <si>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</si>
  <si>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</si>
  <si>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</si>
  <si>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</si>
  <si>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</si>
  <si>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</si>
  <si>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</si>
  <si>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</si>
  <si>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</si>
  <si>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</si>
  <si>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</si>
  <si>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</si>
  <si>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</si>
  <si>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</si>
  <si>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</si>
  <si>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</si>
  <si>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</si>
  <si>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</si>
  <si>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</si>
  <si>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</si>
  <si>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</si>
  <si>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</si>
  <si>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</si>
  <si>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</si>
  <si>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</si>
  <si>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</si>
  <si>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</si>
  <si>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</si>
  <si>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</si>
  <si>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</si>
  <si>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</si>
  <si>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</si>
  <si>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</si>
  <si>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</si>
  <si>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</si>
  <si>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</si>
  <si>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</si>
  <si>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</si>
  <si>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</si>
  <si>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* 29 to 90 psid</t>
  </si>
  <si>
    <t>N/A</t>
  </si>
  <si>
    <t>Fuel pressure input from 29 to 90 psi - JK</t>
  </si>
  <si>
    <t>Old ECU</t>
  </si>
  <si>
    <t>Fuel Injector Latency (Fixed Break Points)</t>
  </si>
  <si>
    <t>Added older ECU breakpoints - JK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</si>
</sst>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2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68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4" xfId="0" applyFill="1" applyBorder="1" applyAlignment="1">
      <alignment/>
    </xf>
    <xf numFmtId="0" fontId="0" fillId="57" borderId="35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5" fontId="23" fillId="0" borderId="25" xfId="0" applyNumberFormat="1" applyFont="1" applyFill="1" applyBorder="1" applyAlignment="1" applyProtection="1">
      <alignment horizontal="center" vertical="center"/>
      <protection hidden="1"/>
    </xf>
    <xf numFmtId="165" fontId="23" fillId="0" borderId="27" xfId="0" applyNumberFormat="1" applyFont="1" applyBorder="1" applyAlignment="1" applyProtection="1">
      <alignment horizontal="center"/>
      <protection hidden="1"/>
    </xf>
    <xf numFmtId="165" fontId="23" fillId="0" borderId="21" xfId="0" applyNumberFormat="1" applyFont="1" applyBorder="1" applyAlignment="1" applyProtection="1">
      <alignment horizontal="center"/>
      <protection hidden="1"/>
    </xf>
    <xf numFmtId="164" fontId="23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0" fontId="72" fillId="56" borderId="0" xfId="0" applyFont="1" applyFill="1" applyAlignment="1">
      <alignment horizontal="center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0" customWidth="1"/>
    <col min="5" max="6" width="9.7109375" style="30" bestFit="1" customWidth="1"/>
    <col min="7" max="9" width="9.140625" style="30" customWidth="1"/>
    <col min="10" max="10" width="8.00390625" style="30" bestFit="1" customWidth="1"/>
    <col min="11" max="11" width="9.57421875" style="30" bestFit="1" customWidth="1"/>
    <col min="12" max="14" width="9.140625" style="30" customWidth="1"/>
    <col min="15" max="15" width="10.7109375" style="30" customWidth="1"/>
    <col min="16" max="16384" width="9.140625" style="3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1" t="s">
        <v>23</v>
      </c>
      <c r="D13" s="32"/>
      <c r="F13" s="31" t="s">
        <v>1</v>
      </c>
      <c r="G13" s="32"/>
      <c r="J13" s="178">
        <f>IF(FPX&lt;'Background Math'!D8,"** FUEL PRESSURE MUST BE BETWEEN 29 AND 90 PSID **",IF(FPX&gt;'Background Math'!I8,"** FUEL PRESSURE MUST BE BETWEEN 29 AND 90 PSID **",""))</f>
      </c>
      <c r="K13" s="178"/>
      <c r="L13" s="178"/>
      <c r="M13" s="178"/>
      <c r="N13" s="178"/>
      <c r="O13" s="178"/>
    </row>
    <row r="14" spans="3:15" ht="15">
      <c r="C14" s="107">
        <v>10</v>
      </c>
      <c r="D14" s="32"/>
      <c r="E14" s="33"/>
      <c r="F14" s="29">
        <v>43.5</v>
      </c>
      <c r="G14" s="34" t="s">
        <v>42</v>
      </c>
      <c r="J14" s="178">
        <f>IF(ETH&lt;0,"** ETHANOL CONTENT MUST BE BETWEEN 0 AND 100 **",IF(ETH&gt;100,"** ETHANOL CONTENT MUST BE BETWEEN 0 AND 100 **",""))</f>
      </c>
      <c r="K14" s="178"/>
      <c r="L14" s="178"/>
      <c r="M14" s="178"/>
      <c r="N14" s="178"/>
      <c r="O14" s="178"/>
    </row>
    <row r="15" spans="2:20" ht="15">
      <c r="B15" s="32"/>
      <c r="C15" s="32"/>
      <c r="D15" s="32"/>
      <c r="E15" s="32"/>
      <c r="F15" s="32"/>
      <c r="G15" s="32"/>
      <c r="H15" s="32"/>
      <c r="I15" s="32"/>
      <c r="J15" s="178">
        <f>IF('Background Math'!Q23="N/A","** DOES NOT OPEN AT SPECIFIED VOLTAGE &amp; PRESSURE **","")</f>
      </c>
      <c r="K15" s="178"/>
      <c r="L15" s="178"/>
      <c r="M15" s="178"/>
      <c r="N15" s="178"/>
      <c r="O15" s="178"/>
      <c r="P15" s="33"/>
      <c r="Q15" s="33"/>
      <c r="R15" s="33"/>
      <c r="S15" s="32"/>
      <c r="T15" s="32"/>
    </row>
    <row r="16" spans="3:20" ht="15">
      <c r="C16" s="86" t="s">
        <v>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15">
      <c r="B17" s="84" t="s">
        <v>4</v>
      </c>
      <c r="C17" s="155">
        <f>'Background Math'!C10</f>
        <v>0.42</v>
      </c>
      <c r="D17" s="155">
        <f>'Background Math'!C11</f>
        <v>0.556</v>
      </c>
      <c r="E17" s="155">
        <f>'Background Math'!C12</f>
        <v>0.737</v>
      </c>
      <c r="F17" s="155">
        <f>'Background Math'!C13</f>
        <v>0.975</v>
      </c>
      <c r="G17" s="155">
        <f>'Background Math'!C14</f>
        <v>1.292</v>
      </c>
      <c r="H17" s="155">
        <f>'Background Math'!C15</f>
        <v>1.711</v>
      </c>
      <c r="I17" s="155">
        <f>'Background Math'!C16</f>
        <v>2.265</v>
      </c>
      <c r="J17" s="155">
        <f>'Background Math'!C17</f>
        <v>3</v>
      </c>
      <c r="K17" s="41"/>
      <c r="L17" s="40"/>
      <c r="M17" s="71"/>
      <c r="N17" s="41"/>
      <c r="O17" s="41"/>
      <c r="P17" s="41"/>
      <c r="Q17" s="40"/>
      <c r="R17" s="41"/>
      <c r="S17" s="41"/>
      <c r="T17" s="41"/>
    </row>
    <row r="18" spans="2:20" ht="15">
      <c r="B18" s="84" t="s">
        <v>5</v>
      </c>
      <c r="C18" s="156">
        <f>'Background Math'!N10</f>
        <v>-12.5</v>
      </c>
      <c r="D18" s="156">
        <f>'Background Math'!N11</f>
        <v>-9.4</v>
      </c>
      <c r="E18" s="156">
        <f>'Background Math'!N12</f>
        <v>-2.3</v>
      </c>
      <c r="F18" s="156">
        <f>'Background Math'!N13</f>
        <v>-4.7</v>
      </c>
      <c r="G18" s="156">
        <f>'Background Math'!N14</f>
        <v>-3.1</v>
      </c>
      <c r="H18" s="156">
        <f>'Background Math'!N15</f>
        <v>-1.6</v>
      </c>
      <c r="I18" s="156">
        <f>'Background Math'!N16</f>
        <v>0</v>
      </c>
      <c r="J18" s="156">
        <f>'Background Math'!N17</f>
        <v>0</v>
      </c>
      <c r="K18" s="41"/>
      <c r="R18" s="73"/>
      <c r="S18" s="41"/>
      <c r="T18" s="41"/>
    </row>
    <row r="19" spans="3:20" ht="15">
      <c r="C19" s="157"/>
      <c r="D19" s="158"/>
      <c r="E19" s="72"/>
      <c r="F19" s="159"/>
      <c r="G19" s="160"/>
      <c r="H19" s="161"/>
      <c r="I19" s="159"/>
      <c r="J19" s="159"/>
      <c r="K19" s="41"/>
      <c r="L19" s="73"/>
      <c r="M19" s="36"/>
      <c r="O19" s="41"/>
      <c r="P19" s="41"/>
      <c r="Q19" s="35"/>
      <c r="R19" s="73"/>
      <c r="S19" s="41"/>
      <c r="T19" s="41"/>
    </row>
    <row r="20" spans="3:20" ht="15">
      <c r="C20" s="162" t="s">
        <v>7</v>
      </c>
      <c r="D20" s="158"/>
      <c r="E20" s="72"/>
      <c r="F20" s="159"/>
      <c r="G20" s="160"/>
      <c r="H20" s="161"/>
      <c r="J20" s="162" t="s">
        <v>46</v>
      </c>
      <c r="K20" s="158"/>
      <c r="L20" s="72"/>
      <c r="M20" s="159"/>
      <c r="N20" s="160"/>
      <c r="O20" s="41"/>
      <c r="P20" s="41"/>
      <c r="Q20" s="35"/>
      <c r="R20" s="73"/>
      <c r="S20" s="41"/>
      <c r="T20" s="41"/>
    </row>
    <row r="21" spans="2:20" ht="15">
      <c r="B21" s="85" t="s">
        <v>16</v>
      </c>
      <c r="C21" s="163">
        <v>8</v>
      </c>
      <c r="D21" s="87">
        <v>10</v>
      </c>
      <c r="E21" s="87">
        <v>12</v>
      </c>
      <c r="F21" s="163">
        <v>14</v>
      </c>
      <c r="G21" s="87">
        <v>16</v>
      </c>
      <c r="H21" s="161"/>
      <c r="I21" s="85" t="s">
        <v>16</v>
      </c>
      <c r="J21" s="163">
        <v>6.5</v>
      </c>
      <c r="K21" s="87">
        <v>9</v>
      </c>
      <c r="L21" s="87">
        <v>11.5</v>
      </c>
      <c r="M21" s="163">
        <v>14</v>
      </c>
      <c r="N21" s="87">
        <v>16.5</v>
      </c>
      <c r="O21" s="41"/>
      <c r="P21" s="41"/>
      <c r="Q21" s="35"/>
      <c r="R21" s="73"/>
      <c r="S21" s="41"/>
      <c r="T21" s="41"/>
    </row>
    <row r="22" spans="2:20" ht="15">
      <c r="B22" s="85" t="s">
        <v>8</v>
      </c>
      <c r="C22" s="163">
        <f>'Background Math'!Q23</f>
        <v>2.275935</v>
      </c>
      <c r="D22" s="163">
        <f>'Background Math'!R23</f>
        <v>1.542424</v>
      </c>
      <c r="E22" s="163">
        <f>'Background Math'!S23</f>
        <v>1.165438</v>
      </c>
      <c r="F22" s="163">
        <f>'Background Math'!T23</f>
        <v>0.932377</v>
      </c>
      <c r="G22" s="163">
        <f>'Background Math'!U23</f>
        <v>0.7555849999999998</v>
      </c>
      <c r="H22" s="161"/>
      <c r="I22" s="85" t="s">
        <v>8</v>
      </c>
      <c r="J22" s="163">
        <f>'Background Math'!Q27</f>
        <v>3.06003778125</v>
      </c>
      <c r="K22" s="163">
        <f>'Background Math'!R27</f>
        <v>1.8646138749999999</v>
      </c>
      <c r="L22" s="163">
        <f>'Background Math'!S27</f>
        <v>1.2412087187500003</v>
      </c>
      <c r="M22" s="163">
        <f>'Background Math'!T27</f>
        <v>0.932377</v>
      </c>
      <c r="N22" s="163">
        <f>'Background Math'!U27</f>
        <v>0.72017903125</v>
      </c>
      <c r="O22" s="41"/>
      <c r="P22" s="41"/>
      <c r="Q22" s="35"/>
      <c r="R22" s="73"/>
      <c r="S22" s="41"/>
      <c r="T22" s="41"/>
    </row>
    <row r="23" spans="3:20" ht="15">
      <c r="C23" s="157"/>
      <c r="D23" s="158"/>
      <c r="E23" s="74"/>
      <c r="F23" s="159"/>
      <c r="G23" s="160"/>
      <c r="H23" s="161"/>
      <c r="I23" s="159"/>
      <c r="J23" s="159"/>
      <c r="K23" s="41"/>
      <c r="L23" s="73"/>
      <c r="M23" s="36"/>
      <c r="N23" s="41"/>
      <c r="O23" s="41"/>
      <c r="P23" s="41"/>
      <c r="Q23" s="41"/>
      <c r="R23" s="41"/>
      <c r="S23" s="41"/>
      <c r="T23" s="41"/>
    </row>
    <row r="24" spans="2:20" ht="15">
      <c r="B24" s="32"/>
      <c r="C24" s="162" t="s">
        <v>9</v>
      </c>
      <c r="D24" s="159"/>
      <c r="E24" s="159"/>
      <c r="F24" s="159"/>
      <c r="G24" s="164"/>
      <c r="H24" s="161"/>
      <c r="I24" s="159"/>
      <c r="J24" s="159"/>
      <c r="K24" s="41"/>
      <c r="L24" s="35"/>
      <c r="M24" s="36"/>
      <c r="N24" s="41"/>
      <c r="O24" s="41"/>
      <c r="P24" s="41"/>
      <c r="Q24" s="41"/>
      <c r="R24" s="41"/>
      <c r="S24" s="41"/>
      <c r="T24" s="41"/>
    </row>
    <row r="25" spans="2:20" ht="15">
      <c r="B25" s="76" t="s">
        <v>10</v>
      </c>
      <c r="C25" s="165">
        <f>IF(ETH&gt;100,"ERROR",IF(ETH&lt;0,"ERROR",'Background Math'!L33))</f>
        <v>2215.533544045726</v>
      </c>
      <c r="D25" s="159"/>
      <c r="E25" s="159"/>
      <c r="F25" s="159"/>
      <c r="G25" s="159"/>
      <c r="H25" s="159"/>
      <c r="I25" s="159"/>
      <c r="J25" s="159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5">
      <c r="B26" s="40"/>
      <c r="C26" s="166"/>
      <c r="D26" s="159"/>
      <c r="E26" s="159"/>
      <c r="F26" s="159"/>
      <c r="G26" s="158"/>
      <c r="H26" s="166"/>
      <c r="I26" s="159"/>
      <c r="J26" s="159"/>
      <c r="K26" s="41"/>
      <c r="L26" s="40"/>
      <c r="M26" s="71"/>
      <c r="N26" s="41"/>
      <c r="O26" s="41"/>
      <c r="P26" s="41"/>
      <c r="Q26" s="40"/>
      <c r="R26" s="41"/>
      <c r="S26" s="41"/>
      <c r="T26" s="41"/>
    </row>
    <row r="27" spans="2:20" ht="15">
      <c r="B27" s="75"/>
      <c r="C27" s="162" t="s">
        <v>11</v>
      </c>
      <c r="D27" s="159"/>
      <c r="E27" s="159"/>
      <c r="F27" s="159"/>
      <c r="G27" s="160"/>
      <c r="H27" s="161"/>
      <c r="I27" s="159"/>
      <c r="J27" s="159"/>
      <c r="K27" s="41"/>
      <c r="L27" s="73"/>
      <c r="M27" s="36"/>
      <c r="N27" s="41"/>
      <c r="O27" s="41"/>
      <c r="P27" s="41"/>
      <c r="Q27" s="35"/>
      <c r="R27" s="73"/>
      <c r="S27" s="41"/>
      <c r="T27" s="41"/>
    </row>
    <row r="28" spans="2:20" ht="15">
      <c r="B28" s="88" t="s">
        <v>13</v>
      </c>
      <c r="C28" s="167">
        <f>C17</f>
        <v>0.42</v>
      </c>
      <c r="D28" s="159"/>
      <c r="E28" s="159"/>
      <c r="F28" s="159"/>
      <c r="G28" s="160"/>
      <c r="H28" s="161"/>
      <c r="I28" s="159"/>
      <c r="J28" s="159"/>
      <c r="K28" s="41"/>
      <c r="L28" s="73"/>
      <c r="M28" s="36"/>
      <c r="N28" s="41"/>
      <c r="O28" s="41"/>
      <c r="P28" s="41"/>
      <c r="Q28" s="35"/>
      <c r="R28" s="73"/>
      <c r="S28" s="41"/>
      <c r="T28" s="41"/>
    </row>
    <row r="29" spans="2:20" ht="15">
      <c r="B29" s="75"/>
      <c r="C29" s="72"/>
      <c r="D29" s="159"/>
      <c r="E29" s="159"/>
      <c r="F29" s="159"/>
      <c r="G29" s="160"/>
      <c r="H29" s="161"/>
      <c r="I29" s="159"/>
      <c r="J29" s="159"/>
      <c r="K29" s="41"/>
      <c r="L29" s="73"/>
      <c r="M29" s="36"/>
      <c r="N29" s="41"/>
      <c r="O29" s="41"/>
      <c r="P29" s="41"/>
      <c r="Q29" s="35"/>
      <c r="R29" s="73"/>
      <c r="S29" s="41"/>
      <c r="T29" s="41"/>
    </row>
    <row r="30" spans="2:20" ht="15">
      <c r="B30" s="75"/>
      <c r="C30" s="162" t="s">
        <v>12</v>
      </c>
      <c r="D30" s="159"/>
      <c r="E30" s="159"/>
      <c r="F30" s="159"/>
      <c r="G30" s="160"/>
      <c r="H30" s="161"/>
      <c r="I30" s="159"/>
      <c r="J30" s="159"/>
      <c r="K30" s="41"/>
      <c r="L30" s="73"/>
      <c r="M30" s="36"/>
      <c r="N30" s="41"/>
      <c r="O30" s="41"/>
      <c r="P30" s="41"/>
      <c r="Q30" s="35"/>
      <c r="R30" s="73"/>
      <c r="S30" s="41"/>
      <c r="T30" s="41"/>
    </row>
    <row r="31" spans="2:20" ht="15">
      <c r="B31" s="88" t="s">
        <v>13</v>
      </c>
      <c r="C31" s="167">
        <f>J17</f>
        <v>3</v>
      </c>
      <c r="D31" s="159"/>
      <c r="E31" s="159"/>
      <c r="F31" s="159"/>
      <c r="G31" s="160"/>
      <c r="H31" s="161"/>
      <c r="I31" s="159"/>
      <c r="J31" s="159"/>
      <c r="K31" s="41"/>
      <c r="L31" s="73"/>
      <c r="M31" s="36"/>
      <c r="N31" s="41"/>
      <c r="O31" s="41"/>
      <c r="P31" s="41"/>
      <c r="Q31" s="35"/>
      <c r="R31" s="73"/>
      <c r="S31" s="41"/>
      <c r="T31" s="41"/>
    </row>
    <row r="32" spans="2:20" ht="15">
      <c r="B32" s="75"/>
      <c r="C32" s="72"/>
      <c r="D32" s="159"/>
      <c r="E32" s="159"/>
      <c r="F32" s="159"/>
      <c r="G32" s="160"/>
      <c r="H32" s="161"/>
      <c r="I32" s="159"/>
      <c r="J32" s="159"/>
      <c r="K32" s="41"/>
      <c r="L32" s="73"/>
      <c r="M32" s="36"/>
      <c r="N32" s="41"/>
      <c r="O32" s="41"/>
      <c r="P32" s="41"/>
      <c r="Q32" s="41"/>
      <c r="R32" s="41"/>
      <c r="S32" s="41"/>
      <c r="T32" s="41"/>
    </row>
    <row r="33" spans="2:20" ht="15">
      <c r="B33" s="75"/>
      <c r="C33" s="162" t="s">
        <v>14</v>
      </c>
      <c r="D33" s="159"/>
      <c r="E33" s="159"/>
      <c r="F33" s="159"/>
      <c r="G33" s="159"/>
      <c r="H33" s="159"/>
      <c r="I33" s="159"/>
      <c r="J33" s="159"/>
      <c r="K33" s="41"/>
      <c r="L33" s="73"/>
      <c r="M33" s="36"/>
      <c r="N33" s="41"/>
      <c r="O33" s="41"/>
      <c r="P33" s="41"/>
      <c r="Q33" s="41"/>
      <c r="R33" s="41"/>
      <c r="S33" s="41"/>
      <c r="T33" s="41"/>
    </row>
    <row r="34" spans="2:20" ht="15">
      <c r="B34" s="88" t="s">
        <v>15</v>
      </c>
      <c r="C34" s="168">
        <v>10000</v>
      </c>
      <c r="D34" s="159"/>
      <c r="E34" s="159"/>
      <c r="F34" s="159"/>
      <c r="G34" s="159"/>
      <c r="H34" s="159"/>
      <c r="I34" s="159"/>
      <c r="J34" s="159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5">
      <c r="B35" s="75"/>
      <c r="C35" s="7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5">
      <c r="B36" s="75"/>
      <c r="C36" s="72"/>
      <c r="D36" s="41"/>
      <c r="E36" s="41"/>
      <c r="F36" s="41"/>
      <c r="G36" s="41"/>
      <c r="H36" s="41"/>
      <c r="I36" s="41"/>
      <c r="J36" s="41"/>
      <c r="K36" s="41"/>
      <c r="L36" s="41"/>
      <c r="M36" s="76"/>
      <c r="N36" s="41"/>
      <c r="O36" s="41"/>
      <c r="P36" s="41"/>
      <c r="Q36" s="41"/>
      <c r="R36" s="41"/>
      <c r="S36" s="41"/>
      <c r="T36" s="41"/>
    </row>
    <row r="37" spans="2:20" ht="15">
      <c r="B37" s="75"/>
      <c r="C37" s="7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5">
      <c r="B38" s="75"/>
      <c r="C38" s="7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</sheetData>
  <sheetProtection password="C7B7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2 D22">
    <cfRule type="containsText" priority="2" dxfId="0" operator="containsText" stopIfTrue="1" text="N/A">
      <formula>NOT(ISERROR(SEARCH("N/A",C22)))</formula>
    </cfRule>
  </conditionalFormatting>
  <conditionalFormatting sqref="J22:K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6" customWidth="1"/>
    <col min="2" max="16384" width="9.140625" style="136" customWidth="1"/>
  </cols>
  <sheetData>
    <row r="1" ht="12.75">
      <c r="A1" s="135" t="s">
        <v>38</v>
      </c>
    </row>
    <row r="2" spans="2:9" ht="12.75">
      <c r="B2" s="137">
        <v>41859</v>
      </c>
      <c r="C2" s="175" t="s">
        <v>47</v>
      </c>
      <c r="D2" s="176"/>
      <c r="E2" s="176"/>
      <c r="F2" s="176"/>
      <c r="G2" s="176"/>
      <c r="H2" s="176"/>
      <c r="I2" s="177"/>
    </row>
    <row r="4" spans="2:9" ht="12.75">
      <c r="B4" s="137">
        <v>41725</v>
      </c>
      <c r="C4" s="138" t="s">
        <v>40</v>
      </c>
      <c r="D4" s="139"/>
      <c r="E4" s="139"/>
      <c r="F4" s="139"/>
      <c r="G4" s="139"/>
      <c r="H4" s="139"/>
      <c r="I4" s="140"/>
    </row>
    <row r="5" spans="3:9" ht="12.75">
      <c r="C5" s="141" t="s">
        <v>44</v>
      </c>
      <c r="D5" s="142"/>
      <c r="E5" s="142"/>
      <c r="F5" s="142"/>
      <c r="G5" s="142"/>
      <c r="H5" s="142"/>
      <c r="I5" s="143"/>
    </row>
    <row r="6" spans="3:9" ht="12.75">
      <c r="C6" s="144" t="s">
        <v>39</v>
      </c>
      <c r="D6" s="145"/>
      <c r="E6" s="145"/>
      <c r="F6" s="145"/>
      <c r="G6" s="145"/>
      <c r="H6" s="145"/>
      <c r="I6" s="14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9" t="s">
        <v>37</v>
      </c>
      <c r="F3" s="37"/>
      <c r="G3" s="38"/>
      <c r="H3" s="38"/>
      <c r="I3" s="39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IF(FPX=ROUND(D8,1),D8+0.001,IF(FPX=I8,I8-0.000001,IF(FPX=I8,I8-0.0001,FPX)))</f>
        <v>43.5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154"/>
      <c r="O6" s="20"/>
      <c r="P6" s="7"/>
      <c r="Q6" s="7"/>
      <c r="R6" s="7"/>
      <c r="S6" s="7"/>
      <c r="T6" s="7"/>
      <c r="U6" s="7"/>
    </row>
    <row r="7" spans="2:21" ht="14.25">
      <c r="B7" s="43"/>
      <c r="C7" s="21"/>
      <c r="D7" s="21"/>
      <c r="E7" s="21"/>
      <c r="F7" s="22"/>
      <c r="G7" s="20"/>
      <c r="H7" s="44"/>
      <c r="I7" s="45"/>
      <c r="J7" s="46"/>
      <c r="K7" s="19"/>
      <c r="L7" s="21"/>
      <c r="M7" s="22"/>
      <c r="N7" s="23"/>
      <c r="O7" s="23"/>
      <c r="P7" s="9"/>
      <c r="U7" s="9"/>
    </row>
    <row r="8" spans="2:21" ht="12.75">
      <c r="B8" s="21" t="s">
        <v>19</v>
      </c>
      <c r="C8" s="22"/>
      <c r="D8" s="54">
        <v>29</v>
      </c>
      <c r="E8" s="54">
        <v>43.51</v>
      </c>
      <c r="F8" s="55">
        <v>58.02</v>
      </c>
      <c r="G8" s="55">
        <v>72.52</v>
      </c>
      <c r="H8" s="55">
        <v>87.023</v>
      </c>
      <c r="I8" s="55">
        <v>90</v>
      </c>
      <c r="J8" s="48"/>
      <c r="K8" s="19"/>
      <c r="L8" s="42"/>
      <c r="M8" s="25"/>
      <c r="N8" s="23"/>
      <c r="O8" s="23"/>
      <c r="P8" s="9"/>
      <c r="U8" s="10"/>
    </row>
    <row r="9" spans="2:21" ht="13.5" thickBot="1">
      <c r="B9" s="21"/>
      <c r="C9" s="22"/>
      <c r="D9" s="54">
        <v>2</v>
      </c>
      <c r="E9" s="54">
        <v>3</v>
      </c>
      <c r="F9" s="55">
        <v>4</v>
      </c>
      <c r="G9" s="55">
        <v>5</v>
      </c>
      <c r="H9" s="55">
        <f>H8/14.50377</f>
        <v>6.0000262000845295</v>
      </c>
      <c r="I9" s="55">
        <f>I8/14.50377</f>
        <v>6.205283178097833</v>
      </c>
      <c r="J9" s="48"/>
      <c r="K9" s="19"/>
      <c r="L9" s="56" t="s">
        <v>2</v>
      </c>
      <c r="M9" s="151" t="s">
        <v>41</v>
      </c>
      <c r="N9" s="77" t="s">
        <v>0</v>
      </c>
      <c r="O9" s="23"/>
      <c r="P9" s="9"/>
      <c r="U9" s="10"/>
    </row>
    <row r="10" spans="2:21" ht="12.75">
      <c r="B10" s="21"/>
      <c r="C10" s="56">
        <v>0.42</v>
      </c>
      <c r="D10" s="59">
        <v>-16.7925</v>
      </c>
      <c r="E10" s="60">
        <v>-12.5535</v>
      </c>
      <c r="F10" s="61">
        <v>-13.6804</v>
      </c>
      <c r="G10" s="61">
        <v>-9.4263</v>
      </c>
      <c r="H10" s="61">
        <v>-4.8441</v>
      </c>
      <c r="I10" s="62">
        <v>-3.8628</v>
      </c>
      <c r="J10" s="48"/>
      <c r="K10" s="81">
        <f>C10</f>
        <v>0.42</v>
      </c>
      <c r="L10" s="78">
        <f aca="true" ca="1" t="shared" si="0" ref="L10:L17">FORECAST(FP,OFFSET(D10:I10,0,MATCH(FP,FPIN,1)-1,1,2),OFFSET(FPIN,0,MATCH(FP,FPIN,1)-1,1,2))</f>
        <v>-12.556421433494137</v>
      </c>
      <c r="M10" s="147">
        <f>ROUND((ROUND(((L10+100)/0.78125),0)*0.78125-100),1)</f>
        <v>-12.5</v>
      </c>
      <c r="N10" s="147">
        <f aca="true" t="shared" si="1" ref="N10:N17">IF(FP&lt;$D$8,"ERROR",IF(FP&gt;$I$8,"ERROR",M10))</f>
        <v>-12.5</v>
      </c>
      <c r="O10" s="23"/>
      <c r="P10" s="9"/>
      <c r="U10" s="10"/>
    </row>
    <row r="11" spans="2:21" ht="12.75">
      <c r="B11" s="21"/>
      <c r="C11" s="56">
        <v>0.556</v>
      </c>
      <c r="D11" s="63">
        <v>-12.4088</v>
      </c>
      <c r="E11" s="42">
        <v>-9.6506</v>
      </c>
      <c r="F11" s="64">
        <v>-8.3434</v>
      </c>
      <c r="G11" s="64">
        <v>-4.7721</v>
      </c>
      <c r="H11" s="64">
        <v>0.0197</v>
      </c>
      <c r="I11" s="65">
        <v>1.1543</v>
      </c>
      <c r="J11" s="20"/>
      <c r="K11" s="82">
        <f aca="true" t="shared" si="2" ref="K11:K17">C11</f>
        <v>0.556</v>
      </c>
      <c r="L11" s="79">
        <f ca="1" t="shared" si="0"/>
        <v>-9.652500895933839</v>
      </c>
      <c r="M11" s="148">
        <f aca="true" t="shared" si="3" ref="M11:M17">ROUND((ROUND(((L11+100)/0.78125),0)*0.78125-100),1)</f>
        <v>-9.4</v>
      </c>
      <c r="N11" s="148">
        <f t="shared" si="1"/>
        <v>-9.4</v>
      </c>
      <c r="O11" s="23"/>
      <c r="P11" s="9"/>
      <c r="U11" s="10"/>
    </row>
    <row r="12" spans="2:21" ht="12.75">
      <c r="B12" s="21"/>
      <c r="C12" s="57">
        <v>0.737</v>
      </c>
      <c r="D12" s="66">
        <v>-5.1951</v>
      </c>
      <c r="E12" s="64">
        <v>-2.7218</v>
      </c>
      <c r="F12" s="64">
        <v>-4.1285</v>
      </c>
      <c r="G12" s="64">
        <v>-2.3309</v>
      </c>
      <c r="H12" s="64">
        <v>0.1709</v>
      </c>
      <c r="I12" s="65">
        <v>0.7716</v>
      </c>
      <c r="J12" s="20"/>
      <c r="K12" s="82">
        <f t="shared" si="2"/>
        <v>0.737</v>
      </c>
      <c r="L12" s="79">
        <f ca="1" t="shared" si="0"/>
        <v>-2.723504548587181</v>
      </c>
      <c r="M12" s="148">
        <f t="shared" si="3"/>
        <v>-2.3</v>
      </c>
      <c r="N12" s="148">
        <f t="shared" si="1"/>
        <v>-2.3</v>
      </c>
      <c r="O12" s="23"/>
      <c r="P12" s="9"/>
      <c r="U12" s="10"/>
    </row>
    <row r="13" spans="2:21" ht="12.75">
      <c r="B13" s="20"/>
      <c r="C13" s="56">
        <v>0.975</v>
      </c>
      <c r="D13" s="63">
        <v>-5.8464</v>
      </c>
      <c r="E13" s="42">
        <v>-4.8228</v>
      </c>
      <c r="F13" s="42">
        <v>-5.4475</v>
      </c>
      <c r="G13" s="67">
        <v>-3.0295</v>
      </c>
      <c r="H13" s="67">
        <v>-0.2344</v>
      </c>
      <c r="I13" s="65">
        <v>0.386</v>
      </c>
      <c r="J13" s="49"/>
      <c r="K13" s="82">
        <f t="shared" si="2"/>
        <v>0.975</v>
      </c>
      <c r="L13" s="79">
        <f ca="1" t="shared" si="0"/>
        <v>-4.82350544452102</v>
      </c>
      <c r="M13" s="148">
        <f t="shared" si="3"/>
        <v>-4.7</v>
      </c>
      <c r="N13" s="148">
        <f t="shared" si="1"/>
        <v>-4.7</v>
      </c>
      <c r="O13" s="23"/>
      <c r="P13" s="9"/>
      <c r="U13" s="9"/>
    </row>
    <row r="14" spans="2:21" ht="12.75">
      <c r="B14" s="20"/>
      <c r="C14" s="56">
        <v>1.292</v>
      </c>
      <c r="D14" s="63">
        <v>-3.8603</v>
      </c>
      <c r="E14" s="42">
        <v>-2.7557</v>
      </c>
      <c r="F14" s="42">
        <v>-2.8417</v>
      </c>
      <c r="G14" s="67">
        <v>-1.1103</v>
      </c>
      <c r="H14" s="67">
        <v>1.2549</v>
      </c>
      <c r="I14" s="65">
        <v>1.8189</v>
      </c>
      <c r="J14" s="51"/>
      <c r="K14" s="82">
        <f t="shared" si="2"/>
        <v>1.292</v>
      </c>
      <c r="L14" s="79">
        <f ca="1" t="shared" si="0"/>
        <v>-2.756461268090971</v>
      </c>
      <c r="M14" s="148">
        <f t="shared" si="3"/>
        <v>-3.1</v>
      </c>
      <c r="N14" s="150">
        <f t="shared" si="1"/>
        <v>-3.1</v>
      </c>
      <c r="O14" s="23"/>
      <c r="P14" s="9"/>
      <c r="U14" s="9"/>
    </row>
    <row r="15" spans="2:21" ht="12.75">
      <c r="B15" s="20"/>
      <c r="C15" s="56">
        <v>1.711</v>
      </c>
      <c r="D15" s="63">
        <v>-2.0302</v>
      </c>
      <c r="E15" s="42">
        <v>-1.4927</v>
      </c>
      <c r="F15" s="42">
        <v>-0.9713</v>
      </c>
      <c r="G15" s="67">
        <v>-0.3305</v>
      </c>
      <c r="H15" s="67">
        <v>0.9085</v>
      </c>
      <c r="I15" s="65">
        <v>1.2368</v>
      </c>
      <c r="J15" s="51"/>
      <c r="K15" s="82">
        <f t="shared" si="2"/>
        <v>1.711</v>
      </c>
      <c r="L15" s="79">
        <f ca="1" t="shared" si="0"/>
        <v>-1.4930704341833216</v>
      </c>
      <c r="M15" s="148">
        <f t="shared" si="3"/>
        <v>-1.6</v>
      </c>
      <c r="N15" s="148">
        <f t="shared" si="1"/>
        <v>-1.6</v>
      </c>
      <c r="O15" s="23"/>
      <c r="P15" s="9"/>
      <c r="Q15" s="9"/>
      <c r="R15" s="9"/>
      <c r="S15" s="9"/>
      <c r="T15" s="9"/>
      <c r="U15" s="9"/>
    </row>
    <row r="16" spans="2:21" ht="12.75">
      <c r="B16" s="20"/>
      <c r="C16" s="56">
        <v>2.265</v>
      </c>
      <c r="D16" s="63">
        <v>-0.983</v>
      </c>
      <c r="E16" s="42">
        <v>-0.2012</v>
      </c>
      <c r="F16" s="42">
        <v>-0.1432</v>
      </c>
      <c r="G16" s="67">
        <v>0.0795</v>
      </c>
      <c r="H16" s="67">
        <v>0.6013</v>
      </c>
      <c r="I16" s="65">
        <v>0.7454</v>
      </c>
      <c r="J16" s="51"/>
      <c r="K16" s="82">
        <f t="shared" si="2"/>
        <v>2.265</v>
      </c>
      <c r="L16" s="79">
        <f ca="1" t="shared" si="0"/>
        <v>-0.20173880082701512</v>
      </c>
      <c r="M16" s="148">
        <f t="shared" si="3"/>
        <v>0</v>
      </c>
      <c r="N16" s="148">
        <f t="shared" si="1"/>
        <v>0</v>
      </c>
      <c r="O16" s="23"/>
      <c r="P16" s="9"/>
      <c r="T16" s="8"/>
      <c r="U16" s="9"/>
    </row>
    <row r="17" spans="2:21" ht="13.5" thickBot="1">
      <c r="B17" s="20"/>
      <c r="C17" s="56">
        <v>3</v>
      </c>
      <c r="D17" s="68">
        <v>0</v>
      </c>
      <c r="E17" s="58">
        <v>0</v>
      </c>
      <c r="F17" s="58">
        <v>-0.0245</v>
      </c>
      <c r="G17" s="69">
        <v>0.0482</v>
      </c>
      <c r="H17" s="69">
        <v>0</v>
      </c>
      <c r="I17" s="70">
        <v>-0.0248</v>
      </c>
      <c r="J17" s="51"/>
      <c r="K17" s="83">
        <f t="shared" si="2"/>
        <v>3</v>
      </c>
      <c r="L17" s="80">
        <f ca="1" t="shared" si="0"/>
        <v>0</v>
      </c>
      <c r="M17" s="149">
        <f t="shared" si="3"/>
        <v>0</v>
      </c>
      <c r="N17" s="149">
        <f t="shared" si="1"/>
        <v>0</v>
      </c>
      <c r="O17" s="23"/>
      <c r="P17" s="9"/>
      <c r="T17" s="6"/>
      <c r="U17" s="10"/>
    </row>
    <row r="18" spans="2:21" ht="12.75">
      <c r="B18" s="20"/>
      <c r="C18" s="50"/>
      <c r="D18" s="47"/>
      <c r="E18" s="42"/>
      <c r="F18" s="25"/>
      <c r="G18" s="23"/>
      <c r="H18" s="20"/>
      <c r="I18" s="47"/>
      <c r="J18" s="51"/>
      <c r="K18" s="19"/>
      <c r="L18" s="42"/>
      <c r="M18" s="25"/>
      <c r="N18" s="23"/>
      <c r="O18" s="23"/>
      <c r="P18" s="9"/>
      <c r="T18" s="6"/>
      <c r="U18" s="10"/>
    </row>
    <row r="19" spans="2:21" ht="12.75">
      <c r="B19" s="20"/>
      <c r="C19" s="50"/>
      <c r="D19" s="47"/>
      <c r="E19" s="42"/>
      <c r="F19" s="25"/>
      <c r="G19" s="23"/>
      <c r="H19" s="20"/>
      <c r="I19" s="47"/>
      <c r="J19" s="51"/>
      <c r="K19" s="19"/>
      <c r="L19" s="42"/>
      <c r="M19" s="25"/>
      <c r="N19" s="23"/>
      <c r="O19" s="23"/>
      <c r="P19" s="9"/>
      <c r="T19" s="6"/>
      <c r="U19" s="10"/>
    </row>
    <row r="20" spans="2:21" ht="12.75">
      <c r="B20" s="96" t="s">
        <v>18</v>
      </c>
      <c r="E20" s="42"/>
      <c r="F20" s="95" t="s">
        <v>16</v>
      </c>
      <c r="G20" s="23"/>
      <c r="H20" s="20"/>
      <c r="I20" s="47"/>
      <c r="J20" s="51"/>
      <c r="L20" s="42"/>
      <c r="M20" s="25"/>
      <c r="N20" s="95"/>
      <c r="O20" s="23"/>
      <c r="P20" s="9"/>
      <c r="T20" s="6"/>
      <c r="U20" s="10"/>
    </row>
    <row r="21" spans="2:21" ht="13.5" thickBot="1">
      <c r="B21" s="20"/>
      <c r="C21" s="94"/>
      <c r="D21" s="94">
        <v>8</v>
      </c>
      <c r="E21" s="90">
        <v>10</v>
      </c>
      <c r="F21" s="90">
        <v>12</v>
      </c>
      <c r="G21" s="90">
        <v>14</v>
      </c>
      <c r="H21" s="90">
        <v>16</v>
      </c>
      <c r="I21" s="47"/>
      <c r="J21" s="94">
        <v>6.5</v>
      </c>
      <c r="K21" s="90">
        <v>9</v>
      </c>
      <c r="L21" s="90">
        <v>11.5</v>
      </c>
      <c r="M21" s="90">
        <v>14</v>
      </c>
      <c r="N21" s="90">
        <v>16.5</v>
      </c>
      <c r="P21" s="94"/>
      <c r="Q21" s="94">
        <v>8</v>
      </c>
      <c r="R21" s="90">
        <v>10</v>
      </c>
      <c r="S21" s="90">
        <v>12</v>
      </c>
      <c r="T21" s="90">
        <v>14</v>
      </c>
      <c r="U21" s="90">
        <v>16</v>
      </c>
    </row>
    <row r="22" spans="2:21" ht="12.75">
      <c r="B22" s="20">
        <f>C22/14.50377</f>
        <v>1.9994801351648572</v>
      </c>
      <c r="C22" s="54">
        <v>29</v>
      </c>
      <c r="D22" s="91">
        <v>1.9792130000000001</v>
      </c>
      <c r="E22" s="97">
        <v>1.39016</v>
      </c>
      <c r="F22" s="98">
        <v>1.066041</v>
      </c>
      <c r="G22" s="97">
        <v>0.850656</v>
      </c>
      <c r="H22" s="99">
        <v>0.700956</v>
      </c>
      <c r="I22" s="47"/>
      <c r="J22" s="59">
        <v>2.5948656874999996</v>
      </c>
      <c r="K22" s="60">
        <v>1.6515697500000002</v>
      </c>
      <c r="L22" s="60">
        <v>1.133216</v>
      </c>
      <c r="M22" s="60">
        <v>0.850656</v>
      </c>
      <c r="N22" s="169">
        <v>0.6737942812500001</v>
      </c>
      <c r="P22" s="56" t="s">
        <v>2</v>
      </c>
      <c r="Q22" s="91">
        <f ca="1">FORECAST(FP,OFFSET(D$22:D$29,MATCH(FP,$C$22:$C$29,1)-1,0,2),OFFSET($C$22:$C$29,MATCH(FP,$C$22:$C$29,1)-1,0,2))</f>
        <v>2.275935</v>
      </c>
      <c r="R22" s="111">
        <f ca="1">FORECAST(FP,OFFSET(E$22:E$29,MATCH(FP,$C$22:$C$29,1)-1,0,2),OFFSET($C$22:$C$29,MATCH(FP,$C$22:$C$29,1)-1,0,2))</f>
        <v>1.542424</v>
      </c>
      <c r="S22" s="111">
        <f ca="1">FORECAST(FP,OFFSET(F$22:F$29,MATCH(FP,$C$22:$C$29,1)-1,0,2),OFFSET($C$22:$C$29,MATCH(FP,$C$22:$C$29,1)-1,0,2))</f>
        <v>1.165438</v>
      </c>
      <c r="T22" s="111">
        <f ca="1">FORECAST(FP,OFFSET(G$22:G$29,MATCH(FP,$C$22:$C$29,1)-1,0,2),OFFSET($C$22:$C$29,MATCH(FP,$C$22:$C$29,1)-1,0,2))</f>
        <v>0.932377</v>
      </c>
      <c r="U22" s="112">
        <f ca="1">FORECAST(FP,OFFSET(H$22:H$29,MATCH(FP,$C$22:$C$29,1)-1,0,2),OFFSET($C$22:$C$29,MATCH(FP,$C$22:$C$29,1)-1,0,2))</f>
        <v>0.7555849999999998</v>
      </c>
    </row>
    <row r="23" spans="2:21" ht="12.75">
      <c r="B23" s="20">
        <f aca="true" t="shared" si="4" ref="B23:B29">C23/14.50377</f>
        <v>2.999220202747286</v>
      </c>
      <c r="C23" s="54">
        <v>43.5</v>
      </c>
      <c r="D23" s="92">
        <v>2.275935</v>
      </c>
      <c r="E23" s="93">
        <v>1.542424</v>
      </c>
      <c r="F23" s="52">
        <v>1.165438</v>
      </c>
      <c r="G23" s="93">
        <v>0.932377</v>
      </c>
      <c r="H23" s="100">
        <v>0.755585</v>
      </c>
      <c r="I23" s="47"/>
      <c r="J23" s="63">
        <v>3.06003778125</v>
      </c>
      <c r="K23" s="42">
        <v>1.8646138749999999</v>
      </c>
      <c r="L23" s="42">
        <v>1.24120871875</v>
      </c>
      <c r="M23" s="42">
        <v>0.932377</v>
      </c>
      <c r="N23" s="170">
        <v>0.72017903125</v>
      </c>
      <c r="P23" s="77" t="s">
        <v>0</v>
      </c>
      <c r="Q23" s="108">
        <f>IF(FP&gt;$I$8,"ERROR",IF(FP&lt;$D$8,"ERROR",_xlfn.IFERROR(Q22,"N/A")))</f>
        <v>2.275935</v>
      </c>
      <c r="R23" s="109">
        <f>IF(FP&gt;$I$8,"ERROR",IF(FP&lt;$D$8,"ERROR",_xlfn.IFERROR(R22,"N/A")))</f>
        <v>1.542424</v>
      </c>
      <c r="S23" s="109">
        <f>IF(FP&gt;$I$8,"ERROR",IF(FP&lt;$D$8,"ERROR",_xlfn.IFERROR(S22,"N/A")))</f>
        <v>1.165438</v>
      </c>
      <c r="T23" s="109">
        <f>IF(FP&gt;$I$8,"ERROR",IF(FP&lt;$D$8,"ERROR",_xlfn.IFERROR(T22,"N/A")))</f>
        <v>0.932377</v>
      </c>
      <c r="U23" s="110">
        <f>IF(FP&gt;$I$8,"ERROR",IF(FP&lt;$D$8,"ERROR",_xlfn.IFERROR(U22,"N/A")))</f>
        <v>0.7555849999999998</v>
      </c>
    </row>
    <row r="24" spans="2:21" ht="12.75">
      <c r="B24" s="20">
        <f t="shared" si="4"/>
        <v>3.9989602703297145</v>
      </c>
      <c r="C24" s="54">
        <v>58</v>
      </c>
      <c r="D24" s="92">
        <v>2.712203</v>
      </c>
      <c r="E24" s="93">
        <v>1.754565</v>
      </c>
      <c r="F24" s="25">
        <v>1.303253</v>
      </c>
      <c r="G24" s="93">
        <v>1.031277</v>
      </c>
      <c r="H24" s="100">
        <v>0.831813</v>
      </c>
      <c r="I24" s="47"/>
      <c r="J24" s="63">
        <v>3.7627079375</v>
      </c>
      <c r="K24" s="42">
        <v>2.17009325</v>
      </c>
      <c r="L24" s="42">
        <v>1.3916044218749999</v>
      </c>
      <c r="M24" s="42">
        <v>1.031277</v>
      </c>
      <c r="N24" s="170">
        <v>0.793277</v>
      </c>
      <c r="O24" s="93"/>
      <c r="P24" s="93"/>
      <c r="Q24" s="9"/>
      <c r="R24" s="9"/>
      <c r="S24" s="9"/>
      <c r="T24" s="9"/>
      <c r="U24" s="9"/>
    </row>
    <row r="25" spans="2:21" ht="12.75">
      <c r="B25" s="20">
        <f t="shared" si="4"/>
        <v>4.653962383573375</v>
      </c>
      <c r="C25" s="54">
        <v>67.5</v>
      </c>
      <c r="D25" s="92">
        <v>3.073</v>
      </c>
      <c r="E25" s="93">
        <v>1.926</v>
      </c>
      <c r="F25" s="25">
        <v>1.414</v>
      </c>
      <c r="G25" s="93">
        <v>1.105</v>
      </c>
      <c r="H25" s="100">
        <v>0.893</v>
      </c>
      <c r="I25" s="47"/>
      <c r="J25" s="63">
        <v>4.34996875</v>
      </c>
      <c r="K25" s="42">
        <v>2.420125</v>
      </c>
      <c r="L25" s="42">
        <v>1.5128437499999998</v>
      </c>
      <c r="M25" s="42">
        <v>1.105</v>
      </c>
      <c r="N25" s="170">
        <v>0.8551562500000001</v>
      </c>
      <c r="O25" s="93"/>
      <c r="P25" s="51" t="s">
        <v>45</v>
      </c>
      <c r="Q25" s="94">
        <v>6.5</v>
      </c>
      <c r="R25" s="90">
        <v>9</v>
      </c>
      <c r="S25" s="90">
        <v>11.5</v>
      </c>
      <c r="T25" s="90">
        <v>14</v>
      </c>
      <c r="U25" s="90">
        <v>16.5</v>
      </c>
    </row>
    <row r="26" spans="2:21" ht="12.75">
      <c r="B26" s="20">
        <f t="shared" si="4"/>
        <v>5.000010342138631</v>
      </c>
      <c r="C26" s="54">
        <v>72.519</v>
      </c>
      <c r="D26" s="92" t="s">
        <v>43</v>
      </c>
      <c r="E26" s="93">
        <v>1.995362</v>
      </c>
      <c r="F26" s="25">
        <v>1.440673</v>
      </c>
      <c r="G26" s="93">
        <v>1.119961</v>
      </c>
      <c r="H26" s="100">
        <v>0.899827</v>
      </c>
      <c r="I26" s="23"/>
      <c r="J26" s="171" t="s">
        <v>43</v>
      </c>
      <c r="K26" s="42">
        <v>2.3604478749999998</v>
      </c>
      <c r="L26" s="42">
        <v>1.5574099062500002</v>
      </c>
      <c r="M26" s="42">
        <v>1.119961</v>
      </c>
      <c r="N26" s="170">
        <v>0.8605088125000001</v>
      </c>
      <c r="O26" s="93"/>
      <c r="P26" s="56" t="s">
        <v>2</v>
      </c>
      <c r="Q26" s="91">
        <f ca="1">FORECAST(FP,OFFSET(J$22:J$29,MATCH(FP,$C$22:$C$29,1)-1,0,2),OFFSET($C$22:$C$29,MATCH(FP,$C$22:$C$29,1)-1,0,2))</f>
        <v>3.06003778125</v>
      </c>
      <c r="R26" s="111">
        <f ca="1">FORECAST(FP,OFFSET(K$22:K$29,MATCH(FP,$C$22:$C$29,1)-1,0,2),OFFSET($C$22:$C$29,MATCH(FP,$C$22:$C$29,1)-1,0,2))</f>
        <v>1.8646138749999999</v>
      </c>
      <c r="S26" s="111">
        <f ca="1">FORECAST(FP,OFFSET(L$22:L$29,MATCH(FP,$C$22:$C$29,1)-1,0,2),OFFSET($C$22:$C$29,MATCH(FP,$C$22:$C$29,1)-1,0,2))</f>
        <v>1.2412087187500003</v>
      </c>
      <c r="T26" s="111">
        <f ca="1">FORECAST(FP,OFFSET(M$22:M$29,MATCH(FP,$C$22:$C$29,1)-1,0,2),OFFSET($C$22:$C$29,MATCH(FP,$C$22:$C$29,1)-1,0,2))</f>
        <v>0.932377</v>
      </c>
      <c r="U26" s="112">
        <f ca="1">FORECAST(FP,OFFSET(N$22:N$29,MATCH(FP,$C$22:$C$29,1)-1,0,2),OFFSET($C$22:$C$29,MATCH(FP,$C$22:$C$29,1)-1,0,2))</f>
        <v>0.72017903125</v>
      </c>
    </row>
    <row r="27" spans="2:21" ht="12.75">
      <c r="B27" s="20">
        <f t="shared" si="4"/>
        <v>5.343438292250911</v>
      </c>
      <c r="C27" s="151">
        <v>77.5</v>
      </c>
      <c r="D27" s="92" t="s">
        <v>43</v>
      </c>
      <c r="E27" s="93">
        <v>2.085</v>
      </c>
      <c r="F27" s="153">
        <v>1.488</v>
      </c>
      <c r="G27" s="153">
        <v>1.148</v>
      </c>
      <c r="H27" s="100">
        <v>0.921</v>
      </c>
      <c r="J27" s="171" t="s">
        <v>43</v>
      </c>
      <c r="K27" s="42">
        <v>2.479875</v>
      </c>
      <c r="L27" s="42">
        <v>1.6131562499999998</v>
      </c>
      <c r="M27" s="42">
        <v>1.148</v>
      </c>
      <c r="N27" s="170">
        <v>0.8819062500000001</v>
      </c>
      <c r="P27" s="77" t="s">
        <v>0</v>
      </c>
      <c r="Q27" s="108">
        <f>IF(FP&gt;$I$8,"ERROR",IF(FP&lt;$D$8,"ERROR",_xlfn.IFERROR(Q26,"N/A")))</f>
        <v>3.06003778125</v>
      </c>
      <c r="R27" s="109">
        <f>IF(FP&gt;$I$8,"ERROR",IF(FP&lt;$D$8,"ERROR",_xlfn.IFERROR(R26,"N/A")))</f>
        <v>1.8646138749999999</v>
      </c>
      <c r="S27" s="109">
        <f>IF(FP&gt;$I$8,"ERROR",IF(FP&lt;$D$8,"ERROR",_xlfn.IFERROR(S26,"N/A")))</f>
        <v>1.2412087187500003</v>
      </c>
      <c r="T27" s="109">
        <f>IF(FP&gt;$I$8,"ERROR",IF(FP&lt;$D$8,"ERROR",_xlfn.IFERROR(T26,"N/A")))</f>
        <v>0.932377</v>
      </c>
      <c r="U27" s="110">
        <f>IF(FP&gt;$I$8,"ERROR",IF(FP&lt;$D$8,"ERROR",_xlfn.IFERROR(U26,"N/A")))</f>
        <v>0.72017903125</v>
      </c>
    </row>
    <row r="28" spans="2:21" ht="12.75">
      <c r="B28" s="20">
        <f t="shared" si="4"/>
        <v>5.998447300253659</v>
      </c>
      <c r="C28" s="55">
        <v>87.0001</v>
      </c>
      <c r="D28" s="92" t="s">
        <v>43</v>
      </c>
      <c r="E28" s="93" t="s">
        <v>43</v>
      </c>
      <c r="F28" s="152">
        <v>1.598028</v>
      </c>
      <c r="G28" s="152">
        <v>1.217669</v>
      </c>
      <c r="H28" s="100">
        <v>0.952561</v>
      </c>
      <c r="J28" s="171" t="s">
        <v>43</v>
      </c>
      <c r="K28" s="93" t="s">
        <v>43</v>
      </c>
      <c r="L28" s="42">
        <v>1.7111257187500002</v>
      </c>
      <c r="M28" s="42">
        <v>1.217669</v>
      </c>
      <c r="N28" s="170">
        <v>0.9042919687500001</v>
      </c>
      <c r="O28" s="24"/>
      <c r="P28" s="9"/>
      <c r="Q28" s="9"/>
      <c r="R28" s="9"/>
      <c r="S28" s="9"/>
      <c r="T28" s="9"/>
      <c r="U28" s="7"/>
    </row>
    <row r="29" spans="2:21" ht="13.5" thickBot="1">
      <c r="B29" s="20">
        <f t="shared" si="4"/>
        <v>6.205283178097833</v>
      </c>
      <c r="C29" s="55">
        <v>90</v>
      </c>
      <c r="D29" s="101" t="s">
        <v>43</v>
      </c>
      <c r="E29" s="102" t="s">
        <v>43</v>
      </c>
      <c r="F29" s="102">
        <v>1.646</v>
      </c>
      <c r="G29" s="102">
        <v>1.252</v>
      </c>
      <c r="H29" s="103">
        <v>0.975</v>
      </c>
      <c r="I29" s="20"/>
      <c r="J29" s="172" t="s">
        <v>43</v>
      </c>
      <c r="K29" s="173" t="s">
        <v>43</v>
      </c>
      <c r="L29" s="58">
        <v>1.76278125</v>
      </c>
      <c r="M29" s="58">
        <v>1.252</v>
      </c>
      <c r="N29" s="174">
        <v>0.92403125</v>
      </c>
      <c r="O29" s="24"/>
      <c r="P29" s="9"/>
      <c r="Q29" s="9"/>
      <c r="R29" s="9"/>
      <c r="S29" s="7"/>
      <c r="T29" s="7"/>
      <c r="U29" s="7"/>
    </row>
    <row r="30" spans="2:18" ht="12.75"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42"/>
      <c r="M30" s="25"/>
      <c r="N30" s="23"/>
      <c r="O30" s="23"/>
      <c r="P30" s="7"/>
      <c r="Q30" s="7"/>
      <c r="R30" s="7"/>
    </row>
    <row r="31" spans="2:14" ht="12.75">
      <c r="B31" s="44" t="s">
        <v>20</v>
      </c>
      <c r="C31" s="53"/>
      <c r="D31" s="45" t="s">
        <v>35</v>
      </c>
      <c r="F31" s="45" t="s">
        <v>36</v>
      </c>
      <c r="H31" s="44" t="s">
        <v>24</v>
      </c>
      <c r="I31" s="20"/>
      <c r="J31" s="20"/>
      <c r="N31" s="23"/>
    </row>
    <row r="32" spans="2:12" ht="12.75">
      <c r="B32" s="44"/>
      <c r="C32" s="104" t="s">
        <v>22</v>
      </c>
      <c r="D32" s="105">
        <v>0.724</v>
      </c>
      <c r="E32" s="119">
        <v>0</v>
      </c>
      <c r="F32" s="121">
        <f>TREND(D32:D33,E32:E33,ETH,TRUE)</f>
        <v>0.724</v>
      </c>
      <c r="H32" s="27">
        <f>14.64-ETH*0.0563</f>
        <v>14.077</v>
      </c>
      <c r="I32" s="20"/>
      <c r="J32" s="20"/>
      <c r="K32" s="56" t="s">
        <v>2</v>
      </c>
      <c r="L32" s="77" t="s">
        <v>0</v>
      </c>
    </row>
    <row r="33" spans="2:12" ht="14.25">
      <c r="B33" s="44"/>
      <c r="C33" s="104" t="s">
        <v>21</v>
      </c>
      <c r="D33" s="106">
        <v>0.724</v>
      </c>
      <c r="E33" s="120">
        <v>100</v>
      </c>
      <c r="F33" s="20"/>
      <c r="G33" s="20"/>
      <c r="H33" s="20"/>
      <c r="I33" s="26"/>
      <c r="J33" s="20"/>
      <c r="K33" s="133">
        <f ca="1">FORECAST(FP,OFFSET(I36:I40,MATCH(FP,G36:G40,1)-1,0,2),OFFSET(G36:G40,MATCH(FP,G36:G40,1)-1,0,2))</f>
        <v>2215.533544045726</v>
      </c>
      <c r="L33" s="132">
        <f>_xlfn.IFERROR(K33,"ERROR")</f>
        <v>2215.533544045726</v>
      </c>
    </row>
    <row r="34" spans="2:10" ht="12.75">
      <c r="B34" s="44"/>
      <c r="D34" s="20"/>
      <c r="E34" s="20"/>
      <c r="F34" s="20"/>
      <c r="G34" s="127" t="s">
        <v>17</v>
      </c>
      <c r="H34" s="127" t="s">
        <v>30</v>
      </c>
      <c r="I34" s="127" t="s">
        <v>31</v>
      </c>
      <c r="J34" s="20"/>
    </row>
    <row r="35" spans="2:9" ht="12.75">
      <c r="B35" s="89" t="s">
        <v>25</v>
      </c>
      <c r="C35"/>
      <c r="D35"/>
      <c r="E35" s="114">
        <v>0.5</v>
      </c>
      <c r="F35"/>
      <c r="G35" s="127" t="s">
        <v>32</v>
      </c>
      <c r="H35" s="127" t="s">
        <v>33</v>
      </c>
      <c r="I35" s="127" t="s">
        <v>34</v>
      </c>
    </row>
    <row r="36" spans="2:9" ht="15">
      <c r="B36" s="128" t="s">
        <v>28</v>
      </c>
      <c r="C36" s="113"/>
      <c r="D36" s="113"/>
      <c r="E36" s="115">
        <v>1036</v>
      </c>
      <c r="F36"/>
      <c r="G36" s="122">
        <v>29</v>
      </c>
      <c r="H36" s="124">
        <v>1066.93</v>
      </c>
      <c r="I36" s="129">
        <f>$E$38/((H36*$F$32)/60000000)</f>
        <v>2758.9043954328317</v>
      </c>
    </row>
    <row r="37" spans="2:9" ht="15">
      <c r="B37"/>
      <c r="C37"/>
      <c r="D37"/>
      <c r="F37"/>
      <c r="G37" s="123">
        <v>43.5</v>
      </c>
      <c r="H37" s="125">
        <v>1328.6</v>
      </c>
      <c r="I37" s="130">
        <f>$E$38/((H37*$F$32)/60000000)</f>
        <v>2215.533544045726</v>
      </c>
    </row>
    <row r="38" spans="2:10" ht="15">
      <c r="B38" s="89" t="s">
        <v>26</v>
      </c>
      <c r="C38"/>
      <c r="D38"/>
      <c r="E38" s="116">
        <f>E35/H32</f>
        <v>0.035518931590537754</v>
      </c>
      <c r="F38"/>
      <c r="G38" s="123">
        <v>58</v>
      </c>
      <c r="H38" s="125">
        <v>1535.12</v>
      </c>
      <c r="I38" s="130">
        <f>$E$38/((H38*$F$32)/60000000)</f>
        <v>1917.4773741591218</v>
      </c>
      <c r="J38"/>
    </row>
    <row r="39" spans="2:9" ht="15">
      <c r="B39" s="89" t="s">
        <v>27</v>
      </c>
      <c r="C39"/>
      <c r="D39"/>
      <c r="E39" s="117">
        <f>(E36*F32)/60000000</f>
        <v>1.2501066666666666E-05</v>
      </c>
      <c r="G39" s="123">
        <v>72.5</v>
      </c>
      <c r="H39" s="125">
        <v>1716.32</v>
      </c>
      <c r="I39" s="130">
        <f>$E$38/((H39*$F$32)/60000000)</f>
        <v>1715.0402411083896</v>
      </c>
    </row>
    <row r="40" spans="2:9" ht="15">
      <c r="B40" s="128" t="s">
        <v>29</v>
      </c>
      <c r="C40" s="113"/>
      <c r="D40" s="113"/>
      <c r="E40" s="118">
        <f>E38/E39</f>
        <v>2841.2720720262078</v>
      </c>
      <c r="G40" s="134">
        <v>87.001</v>
      </c>
      <c r="H40" s="126">
        <v>1869.61</v>
      </c>
      <c r="I40" s="131">
        <f>$E$38/((H40*$F$32)/60000000)</f>
        <v>1574.4234715363905</v>
      </c>
    </row>
    <row r="50" spans="7:9" ht="12.75">
      <c r="G50" s="7"/>
      <c r="H50" s="7"/>
      <c r="I50" s="7"/>
    </row>
  </sheetData>
  <sheetProtection password="C7B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2014-08-12T23:20:00Z</dcterms:modified>
  <cp:category/>
  <cp:version/>
  <cp:contentType/>
  <cp:contentStatus/>
</cp:coreProperties>
</file>